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filterPrivacy="1"/>
  <bookViews>
    <workbookView xWindow="0" yWindow="0" windowWidth="22260" windowHeight="12645" tabRatio="820" firstSheet="24" activeTab="24"/>
  </bookViews>
  <sheets>
    <sheet name="Analisi dei Carichi Torrino" sheetId="18" r:id="rId1"/>
    <sheet name="Analisi dei Carichi Trave Eme" sheetId="19" r:id="rId2"/>
    <sheet name="Analisi dei Carichi Pilast" sheetId="20" r:id="rId3"/>
    <sheet name="Analisi dei Carichi Vert" sheetId="21" r:id="rId4"/>
    <sheet name="Analisi dei Carichi Solaio VI" sheetId="10" r:id="rId5"/>
    <sheet name="Analisi dei Carichi Trave Emer" sheetId="14" r:id="rId6"/>
    <sheet name="Analisi dei Carichi Trave Spes" sheetId="15" r:id="rId7"/>
    <sheet name="Analisi dei Carichi Pilastr" sheetId="16" r:id="rId8"/>
    <sheet name="Analisi Carichi Verti" sheetId="17" r:id="rId9"/>
    <sheet name="Analisi dei Carichi Solaio Tipo" sheetId="9" r:id="rId10"/>
    <sheet name="Analisi dei Carichi Scala" sheetId="31" r:id="rId11"/>
    <sheet name="Analisi dei Carichi Trave Emerg" sheetId="11" r:id="rId12"/>
    <sheet name="Analisi dei Carichi Trave Spess" sheetId="12" r:id="rId13"/>
    <sheet name="Analisi dei Carichi Pilastro" sheetId="13" r:id="rId14"/>
    <sheet name="Analisi Carichi Vertic." sheetId="5" r:id="rId15"/>
    <sheet name="Dimens. Verifica" sheetId="1" r:id="rId16"/>
    <sheet name="Caratt. Sollec." sheetId="2" r:id="rId17"/>
    <sheet name="Dimens. Travi Emergen." sheetId="4" r:id="rId18"/>
    <sheet name="Dimens. Trave Spessore" sheetId="8" r:id="rId19"/>
    <sheet name="Dimens. Pilastro" sheetId="7" r:id="rId20"/>
    <sheet name="Stima delle rigidezze 1" sheetId="22" r:id="rId21"/>
    <sheet name="Stima delle rigidezze 2 x" sheetId="23" r:id="rId22"/>
    <sheet name="Stima delle rigidezze 2 y " sheetId="24" r:id="rId23"/>
    <sheet name="Controllo Periodo" sheetId="25" r:id="rId24"/>
    <sheet name="Centro di rigidezza" sheetId="26" r:id="rId25"/>
    <sheet name="Verifica SLD" sheetId="32" r:id="rId26"/>
    <sheet name="Dati" sheetId="3" r:id="rId27"/>
  </sheets>
  <definedNames>
    <definedName name="Balcone">Dati!$G$7:$G$8</definedName>
    <definedName name="Classe">Dati!$C$7:$C$14</definedName>
    <definedName name="cls">Dati!$C$17:$C$24</definedName>
    <definedName name="Diametro">Dati!$K$7:$K$21</definedName>
    <definedName name="kR">Dati!$B$7:$B$8</definedName>
    <definedName name="Numero">Dati!$L$7:$L$19</definedName>
    <definedName name="q">Dati!$A$6:$A$7</definedName>
    <definedName name="Solaio">Dati!$H$7:$H$8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26" l="1"/>
  <c r="B4" i="26"/>
  <c r="O16" i="25"/>
  <c r="D16" i="25"/>
  <c r="AM54" i="24"/>
  <c r="AJ54" i="24"/>
  <c r="AM53" i="24"/>
  <c r="AK53" i="24"/>
  <c r="AJ53" i="24"/>
  <c r="AM52" i="24"/>
  <c r="AK52" i="24"/>
  <c r="AJ52" i="24"/>
  <c r="AM51" i="24"/>
  <c r="AK51" i="24"/>
  <c r="AJ51" i="24"/>
  <c r="AM50" i="24"/>
  <c r="AK50" i="24"/>
  <c r="AJ50" i="24"/>
  <c r="AM49" i="24"/>
  <c r="AK49" i="24"/>
  <c r="AJ49" i="24"/>
  <c r="AM48" i="24"/>
  <c r="AK48" i="24"/>
  <c r="AM47" i="24"/>
  <c r="AJ47" i="24"/>
  <c r="AM46" i="24"/>
  <c r="AK46" i="24"/>
  <c r="AJ46" i="24"/>
  <c r="AM45" i="24"/>
  <c r="AK45" i="24"/>
  <c r="AJ45" i="24"/>
  <c r="AM44" i="24"/>
  <c r="AK44" i="24"/>
  <c r="AJ44" i="24"/>
  <c r="AM43" i="24"/>
  <c r="AK43" i="24"/>
  <c r="AJ43" i="24"/>
  <c r="AM42" i="24"/>
  <c r="AK42" i="24"/>
  <c r="AJ42" i="24"/>
  <c r="AM41" i="24"/>
  <c r="AK41" i="24"/>
  <c r="AJ41" i="24"/>
  <c r="AM40" i="24"/>
  <c r="AK40" i="24"/>
  <c r="AM39" i="24"/>
  <c r="AK39" i="24"/>
  <c r="AM38" i="24"/>
  <c r="AJ38" i="24"/>
  <c r="AM37" i="24"/>
  <c r="AM55" i="24" s="1"/>
  <c r="AK37" i="24"/>
  <c r="AC59" i="23"/>
  <c r="AA59" i="23"/>
  <c r="Z59" i="23"/>
  <c r="AC58" i="23"/>
  <c r="AA58" i="23"/>
  <c r="Z58" i="23"/>
  <c r="AC57" i="23"/>
  <c r="Z57" i="23"/>
  <c r="AC56" i="23"/>
  <c r="Z56" i="23"/>
  <c r="AC55" i="23"/>
  <c r="AA55" i="23"/>
  <c r="AC54" i="23"/>
  <c r="AA54" i="23"/>
  <c r="Z54" i="23"/>
  <c r="AC53" i="23"/>
  <c r="AA53" i="23"/>
  <c r="Z53" i="23"/>
  <c r="AC52" i="23"/>
  <c r="AA52" i="23"/>
  <c r="AC51" i="23"/>
  <c r="AA51" i="23"/>
  <c r="Z51" i="23"/>
  <c r="AC50" i="23"/>
  <c r="AA50" i="23"/>
  <c r="Z50" i="23"/>
  <c r="AC49" i="23"/>
  <c r="AA49" i="23"/>
  <c r="Z49" i="23"/>
  <c r="AC48" i="23"/>
  <c r="AA48" i="23"/>
  <c r="Z48" i="23"/>
  <c r="AC47" i="23"/>
  <c r="AA47" i="23"/>
  <c r="Z47" i="23"/>
  <c r="AC46" i="23"/>
  <c r="AC60" i="23" s="1"/>
  <c r="Z46" i="23"/>
  <c r="C8" i="2" l="1"/>
  <c r="F2" i="26" l="1"/>
  <c r="I4" i="26"/>
  <c r="F5" i="26"/>
  <c r="I5" i="26" s="1"/>
  <c r="F6" i="26"/>
  <c r="I6" i="26" s="1"/>
  <c r="F7" i="26"/>
  <c r="I7" i="26" s="1"/>
  <c r="F8" i="26"/>
  <c r="I8" i="26" s="1"/>
  <c r="B5" i="26"/>
  <c r="E5" i="26" s="1"/>
  <c r="B6" i="26"/>
  <c r="E6" i="26" s="1"/>
  <c r="B7" i="26"/>
  <c r="E7" i="26" s="1"/>
  <c r="E4" i="26"/>
  <c r="B8" i="26"/>
  <c r="E8" i="26" s="1"/>
  <c r="I3" i="32" l="1"/>
  <c r="H3" i="32"/>
  <c r="F3" i="32" l="1"/>
  <c r="M13" i="1" l="1"/>
  <c r="I21" i="17" l="1"/>
  <c r="H21" i="17"/>
  <c r="G21" i="17"/>
  <c r="F21" i="17"/>
  <c r="E21" i="17"/>
  <c r="D21" i="17"/>
  <c r="C21" i="17"/>
  <c r="B21" i="17"/>
  <c r="I19" i="17"/>
  <c r="H19" i="17"/>
  <c r="G19" i="17"/>
  <c r="F19" i="17"/>
  <c r="E19" i="17"/>
  <c r="D19" i="17"/>
  <c r="C19" i="17"/>
  <c r="B19" i="17"/>
  <c r="I13" i="17"/>
  <c r="H13" i="17"/>
  <c r="G13" i="17"/>
  <c r="F13" i="17"/>
  <c r="E13" i="17"/>
  <c r="D13" i="17"/>
  <c r="C13" i="17"/>
  <c r="B13" i="17"/>
  <c r="S10" i="16"/>
  <c r="Q10" i="16"/>
  <c r="D28" i="14"/>
  <c r="N25" i="14"/>
  <c r="B19" i="14"/>
  <c r="V30" i="14"/>
  <c r="S30" i="14"/>
  <c r="AA30" i="14" s="1"/>
  <c r="M30" i="14"/>
  <c r="J30" i="14"/>
  <c r="X30" i="14" s="1"/>
  <c r="H30" i="14"/>
  <c r="F30" i="14"/>
  <c r="T30" i="14" s="1"/>
  <c r="D30" i="14"/>
  <c r="B30" i="14"/>
  <c r="R30" i="14" s="1"/>
  <c r="Z30" i="14" s="1"/>
  <c r="V28" i="14"/>
  <c r="S28" i="14"/>
  <c r="AA28" i="14" s="1"/>
  <c r="M28" i="14"/>
  <c r="J28" i="14"/>
  <c r="X28" i="14" s="1"/>
  <c r="H28" i="14"/>
  <c r="F28" i="14"/>
  <c r="T28" i="14" s="1"/>
  <c r="B28" i="14"/>
  <c r="R28" i="14" s="1"/>
  <c r="Z28" i="14" s="1"/>
  <c r="V25" i="14"/>
  <c r="S25" i="14"/>
  <c r="AA25" i="14" s="1"/>
  <c r="M25" i="14"/>
  <c r="J25" i="14"/>
  <c r="H25" i="14"/>
  <c r="F25" i="14"/>
  <c r="T25" i="14" s="1"/>
  <c r="D25" i="14"/>
  <c r="B25" i="14"/>
  <c r="R25" i="14" s="1"/>
  <c r="Z25" i="14" s="1"/>
  <c r="V23" i="14"/>
  <c r="S23" i="14"/>
  <c r="AA23" i="14" s="1"/>
  <c r="M23" i="14"/>
  <c r="J23" i="14"/>
  <c r="X23" i="14" s="1"/>
  <c r="H23" i="14"/>
  <c r="F23" i="14"/>
  <c r="T23" i="14" s="1"/>
  <c r="D23" i="14"/>
  <c r="B23" i="14"/>
  <c r="R23" i="14" s="1"/>
  <c r="Z23" i="14" s="1"/>
  <c r="V21" i="14"/>
  <c r="S21" i="14"/>
  <c r="AA21" i="14" s="1"/>
  <c r="M21" i="14"/>
  <c r="J21" i="14"/>
  <c r="X21" i="14" s="1"/>
  <c r="H21" i="14"/>
  <c r="F21" i="14"/>
  <c r="T21" i="14" s="1"/>
  <c r="D21" i="14"/>
  <c r="B21" i="14"/>
  <c r="R21" i="14" s="1"/>
  <c r="Z21" i="14" s="1"/>
  <c r="S19" i="14"/>
  <c r="AA19" i="14" s="1"/>
  <c r="M19" i="14"/>
  <c r="F19" i="14"/>
  <c r="T19" i="14" s="1"/>
  <c r="AB19" i="14" s="1"/>
  <c r="D19" i="14"/>
  <c r="R19" i="14"/>
  <c r="Z19" i="14" s="1"/>
  <c r="AC19" i="14" s="1"/>
  <c r="P11" i="14"/>
  <c r="O11" i="14"/>
  <c r="N11" i="14"/>
  <c r="M11" i="14"/>
  <c r="K11" i="14"/>
  <c r="J7" i="14"/>
  <c r="I10" i="14"/>
  <c r="I11" i="14"/>
  <c r="I12" i="14"/>
  <c r="I9" i="14"/>
  <c r="I7" i="14"/>
  <c r="H7" i="14"/>
  <c r="G9" i="14"/>
  <c r="G10" i="14" s="1"/>
  <c r="G7" i="14"/>
  <c r="F9" i="14"/>
  <c r="F10" i="14"/>
  <c r="H12" i="14"/>
  <c r="H11" i="14"/>
  <c r="F3" i="14"/>
  <c r="F7" i="14"/>
  <c r="J12" i="14"/>
  <c r="F12" i="14"/>
  <c r="J11" i="14"/>
  <c r="F11" i="14"/>
  <c r="E10" i="14"/>
  <c r="E9" i="14"/>
  <c r="T8" i="14"/>
  <c r="S8" i="14"/>
  <c r="R8" i="14"/>
  <c r="D8" i="14"/>
  <c r="Q8" i="14" s="1"/>
  <c r="J26" i="25"/>
  <c r="J27" i="25"/>
  <c r="J28" i="25"/>
  <c r="J29" i="25"/>
  <c r="J30" i="25"/>
  <c r="I26" i="25"/>
  <c r="I27" i="25"/>
  <c r="I28" i="25"/>
  <c r="I29" i="25"/>
  <c r="I30" i="25"/>
  <c r="I31" i="25"/>
  <c r="N13" i="22"/>
  <c r="M13" i="22"/>
  <c r="E13" i="22"/>
  <c r="D13" i="22"/>
  <c r="B4" i="4"/>
  <c r="G14" i="5"/>
  <c r="E14" i="5"/>
  <c r="D14" i="5"/>
  <c r="B14" i="5"/>
  <c r="AB28" i="11"/>
  <c r="AB30" i="11"/>
  <c r="X30" i="11"/>
  <c r="X28" i="11"/>
  <c r="T30" i="11"/>
  <c r="T28" i="11"/>
  <c r="R30" i="11"/>
  <c r="R28" i="11"/>
  <c r="AB23" i="11"/>
  <c r="AB21" i="11"/>
  <c r="AB25" i="11"/>
  <c r="AB19" i="11"/>
  <c r="Z25" i="11"/>
  <c r="Z23" i="11"/>
  <c r="Z21" i="11"/>
  <c r="Z19" i="11"/>
  <c r="X25" i="11"/>
  <c r="V25" i="11"/>
  <c r="T25" i="11"/>
  <c r="S25" i="11"/>
  <c r="R25" i="11"/>
  <c r="X23" i="11"/>
  <c r="V23" i="11"/>
  <c r="T23" i="11"/>
  <c r="S23" i="11"/>
  <c r="R23" i="11"/>
  <c r="X21" i="11"/>
  <c r="V21" i="11"/>
  <c r="T21" i="11"/>
  <c r="S21" i="11"/>
  <c r="R21" i="11"/>
  <c r="T19" i="11"/>
  <c r="R19" i="11"/>
  <c r="F30" i="11"/>
  <c r="J30" i="11"/>
  <c r="H30" i="11"/>
  <c r="B30" i="11"/>
  <c r="J28" i="11"/>
  <c r="B28" i="11"/>
  <c r="H21" i="11"/>
  <c r="B25" i="11"/>
  <c r="B23" i="11"/>
  <c r="E9" i="11"/>
  <c r="E10" i="11"/>
  <c r="R8" i="11"/>
  <c r="J8" i="20"/>
  <c r="H8" i="20"/>
  <c r="L15" i="16"/>
  <c r="J15" i="16"/>
  <c r="E15" i="16"/>
  <c r="G7" i="19"/>
  <c r="M8" i="20"/>
  <c r="F8" i="20"/>
  <c r="AC21" i="14" l="1"/>
  <c r="AB21" i="14"/>
  <c r="AB23" i="14"/>
  <c r="AC23" i="14" s="1"/>
  <c r="AB28" i="14"/>
  <c r="AC28" i="14" s="1"/>
  <c r="AB30" i="14"/>
  <c r="AC30" i="14" s="1"/>
  <c r="L19" i="14"/>
  <c r="O19" i="14" s="1"/>
  <c r="L21" i="14"/>
  <c r="N23" i="14"/>
  <c r="L25" i="14"/>
  <c r="O25" i="14" s="1"/>
  <c r="X25" i="14"/>
  <c r="AB25" i="14" s="1"/>
  <c r="AC25" i="14" s="1"/>
  <c r="L28" i="14"/>
  <c r="N30" i="14"/>
  <c r="N19" i="14"/>
  <c r="N21" i="14"/>
  <c r="L23" i="14"/>
  <c r="O23" i="14" s="1"/>
  <c r="N28" i="14"/>
  <c r="L30" i="14"/>
  <c r="G12" i="14"/>
  <c r="G11" i="14"/>
  <c r="AC26" i="14" l="1"/>
  <c r="O30" i="14"/>
  <c r="O28" i="14"/>
  <c r="O21" i="14"/>
  <c r="O26" i="14" s="1"/>
  <c r="D8" i="11"/>
  <c r="T8" i="11"/>
  <c r="S8" i="11"/>
  <c r="L12" i="31"/>
  <c r="K12" i="31"/>
  <c r="C9" i="31"/>
  <c r="D9" i="31"/>
  <c r="C10" i="31"/>
  <c r="D10" i="31"/>
  <c r="D7" i="31"/>
  <c r="C7" i="31"/>
  <c r="B9" i="31" s="1"/>
  <c r="I2" i="1"/>
  <c r="H2" i="1"/>
  <c r="L10" i="31"/>
  <c r="L7" i="31"/>
  <c r="K7" i="31"/>
  <c r="C27" i="31"/>
  <c r="C24" i="31"/>
  <c r="C20" i="31"/>
  <c r="D3" i="31"/>
  <c r="F21" i="11" l="1"/>
  <c r="J25" i="11"/>
  <c r="J23" i="11"/>
  <c r="H25" i="11"/>
  <c r="H23" i="11"/>
  <c r="B21" i="11"/>
  <c r="Q8" i="11"/>
  <c r="D21" i="11" s="1"/>
  <c r="E10" i="31"/>
  <c r="E9" i="31"/>
  <c r="G9" i="31" s="1"/>
  <c r="B10" i="31"/>
  <c r="B7" i="31"/>
  <c r="E7" i="31"/>
  <c r="O17" i="25"/>
  <c r="O18" i="25"/>
  <c r="O19" i="25"/>
  <c r="Q52" i="23"/>
  <c r="J21" i="11" l="1"/>
  <c r="N21" i="11" s="1"/>
  <c r="G10" i="31"/>
  <c r="D9" i="22"/>
  <c r="D8" i="22"/>
  <c r="D7" i="22"/>
  <c r="I8" i="16"/>
  <c r="F12" i="19"/>
  <c r="D12" i="19"/>
  <c r="M7" i="22"/>
  <c r="N7" i="22"/>
  <c r="N8" i="22"/>
  <c r="M8" i="22"/>
  <c r="E7" i="22"/>
  <c r="E8" i="22"/>
  <c r="E9" i="22"/>
  <c r="N9" i="22"/>
  <c r="M9" i="22"/>
  <c r="N10" i="22"/>
  <c r="M10" i="22"/>
  <c r="E10" i="22"/>
  <c r="D10" i="22"/>
  <c r="E15" i="13"/>
  <c r="L15" i="13"/>
  <c r="K8" i="13"/>
  <c r="S3" i="13"/>
  <c r="T3" i="13" s="1"/>
  <c r="I3" i="13"/>
  <c r="D3" i="11"/>
  <c r="N11" i="22"/>
  <c r="M11" i="22"/>
  <c r="E11" i="22"/>
  <c r="D11" i="22"/>
  <c r="D12" i="22"/>
  <c r="N18" i="3" l="1"/>
  <c r="J10" i="31"/>
  <c r="K9" i="31"/>
  <c r="M18" i="3"/>
  <c r="N10" i="31" s="1"/>
  <c r="L8" i="31"/>
  <c r="P18" i="3"/>
  <c r="N7" i="31" s="1"/>
  <c r="N8" i="31" l="1"/>
  <c r="O18" i="3"/>
  <c r="G7" i="31" s="1"/>
  <c r="G12" i="31" s="1"/>
  <c r="N9" i="31"/>
  <c r="A17" i="31" l="1"/>
  <c r="A20" i="31" s="1"/>
  <c r="A24" i="31"/>
  <c r="A27" i="31" s="1"/>
  <c r="N12" i="31"/>
  <c r="N14" i="31" s="1"/>
  <c r="C17" i="31" l="1"/>
  <c r="B20" i="31" s="1"/>
  <c r="F20" i="31" s="1"/>
  <c r="B24" i="31"/>
  <c r="B27" i="31" s="1"/>
  <c r="F27" i="31" s="1"/>
  <c r="H12" i="19" l="1"/>
  <c r="AM40" i="23" l="1"/>
  <c r="AM41" i="23"/>
  <c r="AM42" i="23"/>
  <c r="AM43" i="23"/>
  <c r="AM39" i="23"/>
  <c r="B3" i="1" l="1"/>
  <c r="L7" i="26" l="1"/>
  <c r="L8" i="26"/>
  <c r="I2" i="26"/>
  <c r="L2" i="26" s="1"/>
  <c r="L4" i="26"/>
  <c r="M4" i="26"/>
  <c r="L5" i="26"/>
  <c r="M5" i="26"/>
  <c r="L6" i="26"/>
  <c r="M8" i="26"/>
  <c r="M7" i="26"/>
  <c r="M6" i="26"/>
  <c r="J31" i="25" l="1"/>
  <c r="J25" i="25"/>
  <c r="I25" i="25"/>
  <c r="L3" i="16"/>
  <c r="AW54" i="24"/>
  <c r="AT54" i="24"/>
  <c r="AW53" i="24"/>
  <c r="AU53" i="24"/>
  <c r="AT53" i="24"/>
  <c r="AW52" i="24"/>
  <c r="AU52" i="24"/>
  <c r="AT52" i="24"/>
  <c r="AW51" i="24"/>
  <c r="AU51" i="24"/>
  <c r="AT51" i="24"/>
  <c r="AW50" i="24"/>
  <c r="AU50" i="24"/>
  <c r="AT50" i="24"/>
  <c r="AW49" i="24"/>
  <c r="AU49" i="24"/>
  <c r="AT49" i="24"/>
  <c r="AW48" i="24"/>
  <c r="AU48" i="24"/>
  <c r="AW47" i="24"/>
  <c r="AT47" i="24"/>
  <c r="AW46" i="24"/>
  <c r="AU46" i="24"/>
  <c r="AT46" i="24"/>
  <c r="AW45" i="24"/>
  <c r="AU45" i="24"/>
  <c r="AT45" i="24"/>
  <c r="AW44" i="24"/>
  <c r="AU44" i="24"/>
  <c r="AT44" i="24"/>
  <c r="AW43" i="24"/>
  <c r="AU43" i="24"/>
  <c r="AT43" i="24"/>
  <c r="AW42" i="24"/>
  <c r="AU42" i="24"/>
  <c r="AT42" i="24"/>
  <c r="AW41" i="24"/>
  <c r="AU41" i="24"/>
  <c r="AT41" i="24"/>
  <c r="AW40" i="24"/>
  <c r="AU40" i="24"/>
  <c r="AW39" i="24"/>
  <c r="AU39" i="24"/>
  <c r="AW38" i="24"/>
  <c r="AT38" i="24"/>
  <c r="AW37" i="24"/>
  <c r="AU37" i="24"/>
  <c r="G14" i="25"/>
  <c r="AW55" i="24" l="1"/>
  <c r="AM59" i="23"/>
  <c r="AK59" i="23"/>
  <c r="AJ59" i="23"/>
  <c r="AM58" i="23"/>
  <c r="AK58" i="23"/>
  <c r="AJ58" i="23"/>
  <c r="AM57" i="23"/>
  <c r="AJ57" i="23"/>
  <c r="AM56" i="23"/>
  <c r="AJ56" i="23"/>
  <c r="AM55" i="23"/>
  <c r="AK55" i="23"/>
  <c r="AM54" i="23"/>
  <c r="AK54" i="23"/>
  <c r="AJ54" i="23"/>
  <c r="AM53" i="23"/>
  <c r="AK53" i="23"/>
  <c r="AJ53" i="23"/>
  <c r="AM52" i="23"/>
  <c r="AK52" i="23"/>
  <c r="AM51" i="23"/>
  <c r="AK51" i="23"/>
  <c r="AJ51" i="23"/>
  <c r="AM50" i="23"/>
  <c r="AK50" i="23"/>
  <c r="AJ50" i="23"/>
  <c r="AM49" i="23"/>
  <c r="AK49" i="23"/>
  <c r="AJ49" i="23"/>
  <c r="AM48" i="23"/>
  <c r="AK48" i="23"/>
  <c r="AJ48" i="23"/>
  <c r="AM47" i="23"/>
  <c r="AK47" i="23"/>
  <c r="AJ47" i="23"/>
  <c r="AM46" i="23"/>
  <c r="AJ46" i="23"/>
  <c r="O15" i="25" l="1"/>
  <c r="F3" i="26"/>
  <c r="I3" i="26" s="1"/>
  <c r="L3" i="26" s="1"/>
  <c r="AM60" i="23"/>
  <c r="D15" i="25" l="1"/>
  <c r="B3" i="26"/>
  <c r="E3" i="26" s="1"/>
  <c r="M3" i="26" s="1"/>
  <c r="R16" i="25"/>
  <c r="R17" i="25"/>
  <c r="R18" i="25"/>
  <c r="R19" i="25"/>
  <c r="R20" i="25"/>
  <c r="G16" i="25"/>
  <c r="G17" i="25"/>
  <c r="G18" i="25"/>
  <c r="G19" i="25"/>
  <c r="G20" i="25"/>
  <c r="N13" i="25"/>
  <c r="M13" i="25"/>
  <c r="C13" i="25"/>
  <c r="B13" i="25"/>
  <c r="R5" i="25" l="1"/>
  <c r="R6" i="25"/>
  <c r="R7" i="25"/>
  <c r="R8" i="25"/>
  <c r="R9" i="25"/>
  <c r="N2" i="25"/>
  <c r="M2" i="25"/>
  <c r="G5" i="25"/>
  <c r="G6" i="25"/>
  <c r="G7" i="25"/>
  <c r="G8" i="25"/>
  <c r="G9" i="25"/>
  <c r="C2" i="25"/>
  <c r="B2" i="25"/>
  <c r="A13" i="22" l="1"/>
  <c r="I38" i="24"/>
  <c r="I39" i="24"/>
  <c r="I40" i="24"/>
  <c r="I41" i="24"/>
  <c r="I37" i="24"/>
  <c r="F41" i="24"/>
  <c r="G39" i="24"/>
  <c r="F39" i="24"/>
  <c r="G38" i="24"/>
  <c r="G37" i="24"/>
  <c r="I42" i="24" l="1"/>
  <c r="O14" i="25" l="1"/>
  <c r="L25" i="25" s="1"/>
  <c r="N25" i="25" s="1"/>
  <c r="AW47" i="23"/>
  <c r="AW48" i="23"/>
  <c r="AW49" i="23"/>
  <c r="AW50" i="23"/>
  <c r="S46" i="23"/>
  <c r="AW46" i="23"/>
  <c r="AT50" i="23"/>
  <c r="AT49" i="23"/>
  <c r="AU49" i="23"/>
  <c r="AT47" i="23"/>
  <c r="AU46" i="23"/>
  <c r="S46" i="24"/>
  <c r="S47" i="24"/>
  <c r="S48" i="24"/>
  <c r="S49" i="24"/>
  <c r="S50" i="24"/>
  <c r="S51" i="24"/>
  <c r="S52" i="24"/>
  <c r="S53" i="24"/>
  <c r="S54" i="24"/>
  <c r="AC46" i="24"/>
  <c r="AC47" i="24"/>
  <c r="AC48" i="24"/>
  <c r="AC49" i="24"/>
  <c r="AC50" i="24"/>
  <c r="AC51" i="24"/>
  <c r="AC52" i="24"/>
  <c r="AC53" i="24"/>
  <c r="AC54" i="24"/>
  <c r="P54" i="24"/>
  <c r="Q53" i="24"/>
  <c r="P53" i="24"/>
  <c r="Q52" i="24"/>
  <c r="P52" i="24"/>
  <c r="Q51" i="24"/>
  <c r="P51" i="24"/>
  <c r="Q50" i="24"/>
  <c r="P50" i="24"/>
  <c r="Q49" i="24"/>
  <c r="P49" i="24"/>
  <c r="Q48" i="24"/>
  <c r="P47" i="24"/>
  <c r="Q46" i="24"/>
  <c r="P46" i="24"/>
  <c r="Q45" i="24"/>
  <c r="P45" i="24"/>
  <c r="Q44" i="24"/>
  <c r="P44" i="24"/>
  <c r="Q43" i="24"/>
  <c r="P43" i="24"/>
  <c r="Q42" i="24"/>
  <c r="P42" i="24"/>
  <c r="Q41" i="24"/>
  <c r="P41" i="24"/>
  <c r="Q40" i="24"/>
  <c r="Q39" i="24"/>
  <c r="P38" i="24"/>
  <c r="Q37" i="24"/>
  <c r="Z53" i="24"/>
  <c r="Z52" i="24"/>
  <c r="Z51" i="24"/>
  <c r="Z50" i="24"/>
  <c r="Z49" i="24"/>
  <c r="Z47" i="24"/>
  <c r="Z46" i="24"/>
  <c r="Z45" i="24"/>
  <c r="Z44" i="24"/>
  <c r="Z43" i="24"/>
  <c r="Z42" i="24"/>
  <c r="Z41" i="24"/>
  <c r="Z38" i="24"/>
  <c r="Z54" i="24"/>
  <c r="AA53" i="24"/>
  <c r="AA52" i="24"/>
  <c r="AA51" i="24"/>
  <c r="AA50" i="24"/>
  <c r="AA49" i="24"/>
  <c r="AA48" i="24"/>
  <c r="AA46" i="24"/>
  <c r="AA45" i="24"/>
  <c r="AA44" i="24"/>
  <c r="AA43" i="24"/>
  <c r="AA42" i="24"/>
  <c r="AA41" i="24"/>
  <c r="AA40" i="24"/>
  <c r="AA39" i="24"/>
  <c r="AA37" i="24"/>
  <c r="S45" i="24"/>
  <c r="AC45" i="24"/>
  <c r="S44" i="24"/>
  <c r="AC44" i="24"/>
  <c r="S43" i="24"/>
  <c r="AC43" i="24"/>
  <c r="S42" i="24"/>
  <c r="AC42" i="24"/>
  <c r="S41" i="24"/>
  <c r="AC41" i="24"/>
  <c r="S40" i="24"/>
  <c r="AC40" i="24"/>
  <c r="S39" i="24"/>
  <c r="AC39" i="24"/>
  <c r="S38" i="24"/>
  <c r="AC38" i="24"/>
  <c r="S37" i="24"/>
  <c r="AC37" i="24"/>
  <c r="I46" i="23"/>
  <c r="I59" i="23"/>
  <c r="G59" i="23"/>
  <c r="F59" i="23"/>
  <c r="I58" i="23"/>
  <c r="G58" i="23"/>
  <c r="F58" i="23"/>
  <c r="I57" i="23"/>
  <c r="F57" i="23"/>
  <c r="I56" i="23"/>
  <c r="F56" i="23"/>
  <c r="I55" i="23"/>
  <c r="G55" i="23"/>
  <c r="I54" i="23"/>
  <c r="G54" i="23"/>
  <c r="F54" i="23"/>
  <c r="I53" i="23"/>
  <c r="G53" i="23"/>
  <c r="F53" i="23"/>
  <c r="I52" i="23"/>
  <c r="G52" i="23"/>
  <c r="I51" i="23"/>
  <c r="G51" i="23"/>
  <c r="F51" i="23"/>
  <c r="I50" i="23"/>
  <c r="G50" i="23"/>
  <c r="F50" i="23"/>
  <c r="I49" i="23"/>
  <c r="G49" i="23"/>
  <c r="F49" i="23"/>
  <c r="I48" i="23"/>
  <c r="G48" i="23"/>
  <c r="F48" i="23"/>
  <c r="I47" i="23"/>
  <c r="G47" i="23"/>
  <c r="F47" i="23"/>
  <c r="F46" i="23"/>
  <c r="Q59" i="23"/>
  <c r="Q58" i="23"/>
  <c r="Q55" i="23"/>
  <c r="Q54" i="23"/>
  <c r="Q53" i="23"/>
  <c r="Q51" i="23"/>
  <c r="Q50" i="23"/>
  <c r="Q49" i="23"/>
  <c r="Q48" i="23"/>
  <c r="Q47" i="23"/>
  <c r="P59" i="23"/>
  <c r="P58" i="23"/>
  <c r="P57" i="23"/>
  <c r="P56" i="23"/>
  <c r="P54" i="23"/>
  <c r="P53" i="23"/>
  <c r="P51" i="23"/>
  <c r="P50" i="23"/>
  <c r="P49" i="23"/>
  <c r="P48" i="23"/>
  <c r="P47" i="23"/>
  <c r="P46" i="23"/>
  <c r="S47" i="23"/>
  <c r="S48" i="23"/>
  <c r="S49" i="23"/>
  <c r="S50" i="23"/>
  <c r="S51" i="23"/>
  <c r="S52" i="23"/>
  <c r="S53" i="23"/>
  <c r="S54" i="23"/>
  <c r="S55" i="23"/>
  <c r="S56" i="23"/>
  <c r="S57" i="23"/>
  <c r="S58" i="23"/>
  <c r="S59" i="23"/>
  <c r="AW51" i="23" l="1"/>
  <c r="S55" i="24"/>
  <c r="AC55" i="24"/>
  <c r="I60" i="23"/>
  <c r="D20" i="25" s="1"/>
  <c r="S60" i="23"/>
  <c r="D14" i="25" l="1"/>
  <c r="K25" i="25" s="1"/>
  <c r="M25" i="25" s="1"/>
  <c r="B2" i="26"/>
  <c r="E2" i="26" s="1"/>
  <c r="M2" i="26" s="1"/>
  <c r="D19" i="25"/>
  <c r="K30" i="25" s="1"/>
  <c r="M30" i="25" s="1"/>
  <c r="K27" i="25"/>
  <c r="M27" i="25" s="1"/>
  <c r="D17" i="25"/>
  <c r="K28" i="25" s="1"/>
  <c r="M28" i="25" s="1"/>
  <c r="D18" i="25"/>
  <c r="K29" i="25" s="1"/>
  <c r="M29" i="25" s="1"/>
  <c r="L26" i="25"/>
  <c r="N26" i="25" s="1"/>
  <c r="L29" i="25"/>
  <c r="N29" i="25" s="1"/>
  <c r="O20" i="25"/>
  <c r="L31" i="25" s="1"/>
  <c r="N31" i="25" s="1"/>
  <c r="K26" i="25"/>
  <c r="M26" i="25" s="1"/>
  <c r="L28" i="25"/>
  <c r="N28" i="25" s="1"/>
  <c r="L30" i="25"/>
  <c r="N30" i="25" s="1"/>
  <c r="L27" i="25"/>
  <c r="N27" i="25" s="1"/>
  <c r="E4" i="22"/>
  <c r="M15" i="2"/>
  <c r="I16" i="2"/>
  <c r="I17" i="2"/>
  <c r="I18" i="2"/>
  <c r="I19" i="2"/>
  <c r="I20" i="2"/>
  <c r="I15" i="2"/>
  <c r="I14" i="2"/>
  <c r="J14" i="2"/>
  <c r="K14" i="2"/>
  <c r="L14" i="2"/>
  <c r="M14" i="2"/>
  <c r="N14" i="2"/>
  <c r="O14" i="2"/>
  <c r="H14" i="2"/>
  <c r="G15" i="2"/>
  <c r="A22" i="2"/>
  <c r="A15" i="2"/>
  <c r="A16" i="2"/>
  <c r="A17" i="2"/>
  <c r="A18" i="2"/>
  <c r="A19" i="2"/>
  <c r="A20" i="2"/>
  <c r="A21" i="2"/>
  <c r="A14" i="2"/>
  <c r="B2" i="7"/>
  <c r="G2" i="7" s="1"/>
  <c r="L2" i="7" s="1"/>
  <c r="Q2" i="7" s="1"/>
  <c r="C2" i="7"/>
  <c r="H2" i="7" s="1"/>
  <c r="M2" i="7" s="1"/>
  <c r="R2" i="7" s="1"/>
  <c r="K31" i="25" l="1"/>
  <c r="M31" i="25" s="1"/>
  <c r="D2" i="1"/>
  <c r="I4" i="5" l="1"/>
  <c r="H4" i="5"/>
  <c r="F4" i="5"/>
  <c r="G4" i="5"/>
  <c r="E4" i="5"/>
  <c r="D4" i="5"/>
  <c r="C4" i="5"/>
  <c r="B4" i="5"/>
  <c r="G3" i="5"/>
  <c r="E3" i="5"/>
  <c r="D3" i="5"/>
  <c r="B3" i="5"/>
  <c r="H9" i="13"/>
  <c r="H8" i="13"/>
  <c r="G10" i="13"/>
  <c r="K10" i="13" s="1"/>
  <c r="G9" i="13"/>
  <c r="G8" i="13"/>
  <c r="AA3" i="13"/>
  <c r="Z3" i="13"/>
  <c r="Y3" i="13"/>
  <c r="W3" i="13"/>
  <c r="K9" i="13"/>
  <c r="Q3" i="13"/>
  <c r="O3" i="16"/>
  <c r="M3" i="13"/>
  <c r="F3" i="13"/>
  <c r="E3" i="13"/>
  <c r="J3" i="13" s="1"/>
  <c r="D3" i="13"/>
  <c r="J15" i="13" s="1"/>
  <c r="V30" i="11"/>
  <c r="H3" i="13" l="1"/>
  <c r="N3" i="13" s="1"/>
  <c r="J8" i="13" s="1"/>
  <c r="Q10" i="13"/>
  <c r="P15" i="13"/>
  <c r="Q8" i="13"/>
  <c r="O8" i="13"/>
  <c r="I8" i="13"/>
  <c r="I10" i="13"/>
  <c r="O9" i="13"/>
  <c r="Q9" i="13"/>
  <c r="AC9" i="13" s="1"/>
  <c r="I9" i="13"/>
  <c r="D34" i="5"/>
  <c r="T15" i="13"/>
  <c r="G34" i="5" s="1"/>
  <c r="L8" i="13"/>
  <c r="S8" i="13"/>
  <c r="L9" i="13"/>
  <c r="S9" i="13"/>
  <c r="AE9" i="13" s="1"/>
  <c r="P11" i="11"/>
  <c r="K11" i="11"/>
  <c r="M11" i="11" s="1"/>
  <c r="I11" i="11"/>
  <c r="F28" i="11" s="1"/>
  <c r="I12" i="11"/>
  <c r="I7" i="11"/>
  <c r="F19" i="11" s="1"/>
  <c r="E3" i="11"/>
  <c r="M29" i="9"/>
  <c r="J26" i="9"/>
  <c r="I26" i="9"/>
  <c r="H26" i="9"/>
  <c r="C26" i="9"/>
  <c r="A26" i="9"/>
  <c r="M22" i="9"/>
  <c r="J10" i="13" l="1"/>
  <c r="H28" i="11"/>
  <c r="N28" i="11"/>
  <c r="F7" i="11"/>
  <c r="F9" i="11"/>
  <c r="N19" i="11"/>
  <c r="I9" i="11"/>
  <c r="F23" i="11" s="1"/>
  <c r="AC8" i="13"/>
  <c r="X8" i="13"/>
  <c r="V28" i="11"/>
  <c r="F12" i="11"/>
  <c r="F11" i="11"/>
  <c r="V8" i="13"/>
  <c r="Z8" i="13"/>
  <c r="B9" i="5"/>
  <c r="I9" i="5" s="1"/>
  <c r="E9" i="5"/>
  <c r="H9" i="5" s="1"/>
  <c r="Y15" i="13"/>
  <c r="AE8" i="13"/>
  <c r="D28" i="5"/>
  <c r="D29" i="5"/>
  <c r="AC10" i="13"/>
  <c r="G28" i="5"/>
  <c r="X9" i="13"/>
  <c r="G29" i="5" s="1"/>
  <c r="F4" i="17"/>
  <c r="G4" i="17"/>
  <c r="D4" i="17"/>
  <c r="C4" i="17"/>
  <c r="G3" i="17"/>
  <c r="D3" i="17"/>
  <c r="W3" i="16"/>
  <c r="Q9" i="16" s="1"/>
  <c r="M3" i="16"/>
  <c r="P15" i="16" s="1"/>
  <c r="D37" i="17" s="1"/>
  <c r="H8" i="16"/>
  <c r="H9" i="16"/>
  <c r="G10" i="16"/>
  <c r="E10" i="16"/>
  <c r="H10" i="16" s="1"/>
  <c r="AE10" i="16" s="1"/>
  <c r="G9" i="16"/>
  <c r="G8" i="16"/>
  <c r="AA3" i="16"/>
  <c r="S8" i="16" s="1"/>
  <c r="Z3" i="16"/>
  <c r="O9" i="16" s="1"/>
  <c r="E3" i="16"/>
  <c r="E10" i="13" s="1"/>
  <c r="H10" i="13" s="1"/>
  <c r="F3" i="16"/>
  <c r="N30" i="10"/>
  <c r="N27" i="10"/>
  <c r="M27" i="10"/>
  <c r="C27" i="10"/>
  <c r="L10" i="13" l="1"/>
  <c r="B30" i="5" s="1"/>
  <c r="O10" i="13"/>
  <c r="S10" i="13"/>
  <c r="N23" i="11"/>
  <c r="I10" i="11"/>
  <c r="F25" i="11" s="1"/>
  <c r="F10" i="11"/>
  <c r="Q8" i="16"/>
  <c r="X8" i="16"/>
  <c r="G31" i="17" s="1"/>
  <c r="O8" i="16"/>
  <c r="S9" i="16"/>
  <c r="AE9" i="16" s="1"/>
  <c r="O10" i="16"/>
  <c r="D33" i="17"/>
  <c r="Y15" i="16"/>
  <c r="B28" i="5"/>
  <c r="E28" i="5"/>
  <c r="Z10" i="13"/>
  <c r="V10" i="13"/>
  <c r="AE8" i="16"/>
  <c r="D31" i="17"/>
  <c r="X10" i="16"/>
  <c r="G33" i="17" s="1"/>
  <c r="AC10" i="16"/>
  <c r="D4" i="21"/>
  <c r="C23" i="18"/>
  <c r="G3" i="21" s="1"/>
  <c r="D3" i="21"/>
  <c r="F3" i="20"/>
  <c r="H3" i="20" s="1"/>
  <c r="E3" i="20"/>
  <c r="D3" i="20"/>
  <c r="J7" i="19"/>
  <c r="B7" i="19"/>
  <c r="AF14" i="19"/>
  <c r="AD9" i="19"/>
  <c r="D3" i="19"/>
  <c r="N27" i="18"/>
  <c r="N23" i="18"/>
  <c r="G4" i="21" s="1"/>
  <c r="C27" i="18"/>
  <c r="C30" i="18" s="1"/>
  <c r="AE10" i="13" l="1"/>
  <c r="X10" i="13"/>
  <c r="G30" i="5" s="1"/>
  <c r="D30" i="5"/>
  <c r="E8" i="20"/>
  <c r="G8" i="20" s="1"/>
  <c r="J3" i="20"/>
  <c r="N25" i="11"/>
  <c r="N30" i="11"/>
  <c r="X9" i="16"/>
  <c r="G32" i="17" s="1"/>
  <c r="D32" i="17"/>
  <c r="B6" i="21"/>
  <c r="B8" i="21"/>
  <c r="I8" i="21" s="1"/>
  <c r="E8" i="21"/>
  <c r="H8" i="21" s="1"/>
  <c r="E30" i="5"/>
  <c r="P3" i="20"/>
  <c r="F17" i="19"/>
  <c r="J17" i="19" s="1"/>
  <c r="B10" i="22"/>
  <c r="R8" i="20" l="1"/>
  <c r="AD8" i="20" s="1"/>
  <c r="K8" i="20"/>
  <c r="N8" i="20"/>
  <c r="D18" i="5"/>
  <c r="D16" i="5"/>
  <c r="R4" i="22" l="1"/>
  <c r="H4" i="22"/>
  <c r="Q4" i="22"/>
  <c r="P4" i="22"/>
  <c r="F4" i="22"/>
  <c r="B4" i="22"/>
  <c r="A4" i="22"/>
  <c r="L4" i="22"/>
  <c r="K4" i="22"/>
  <c r="D4" i="22" l="1"/>
  <c r="S4" i="22"/>
  <c r="N4" i="22"/>
  <c r="D24" i="3"/>
  <c r="D23" i="3"/>
  <c r="D22" i="3"/>
  <c r="D21" i="3"/>
  <c r="D20" i="3"/>
  <c r="D19" i="3"/>
  <c r="D18" i="3"/>
  <c r="D17" i="3"/>
  <c r="E17" i="3" l="1"/>
  <c r="G18" i="3" s="1"/>
  <c r="H18" i="3" s="1"/>
  <c r="N4" i="3"/>
  <c r="O4" i="3"/>
  <c r="N5" i="3"/>
  <c r="O5" i="3"/>
  <c r="N6" i="3"/>
  <c r="O6" i="3"/>
  <c r="N7" i="3"/>
  <c r="O7" i="3"/>
  <c r="N3" i="3"/>
  <c r="O3" i="3"/>
  <c r="P6" i="3"/>
  <c r="P7" i="3"/>
  <c r="O4" i="22" l="1"/>
  <c r="E12" i="22" l="1"/>
  <c r="N12" i="22"/>
  <c r="M12" i="22"/>
  <c r="A16" i="21"/>
  <c r="E7" i="19" l="1"/>
  <c r="J10" i="18"/>
  <c r="T10" i="18"/>
  <c r="T9" i="18"/>
  <c r="M9" i="18"/>
  <c r="L9" i="18"/>
  <c r="J9" i="18"/>
  <c r="C9" i="18"/>
  <c r="B9" i="18"/>
  <c r="T8" i="18"/>
  <c r="M8" i="18"/>
  <c r="L8" i="18"/>
  <c r="J8" i="18"/>
  <c r="C8" i="18"/>
  <c r="B8" i="18"/>
  <c r="T7" i="18"/>
  <c r="L7" i="18"/>
  <c r="O7" i="18" s="1"/>
  <c r="J7" i="18"/>
  <c r="J11" i="18" s="1"/>
  <c r="B7" i="18"/>
  <c r="E7" i="18" s="1"/>
  <c r="T3" i="18"/>
  <c r="U3" i="18" s="1"/>
  <c r="O3" i="18"/>
  <c r="Q3" i="18" s="1"/>
  <c r="M3" i="18"/>
  <c r="N3" i="18" s="1"/>
  <c r="I3" i="18"/>
  <c r="G3" i="18"/>
  <c r="D3" i="18"/>
  <c r="B3" i="18"/>
  <c r="Q3" i="16"/>
  <c r="T15" i="16"/>
  <c r="G37" i="17" s="1"/>
  <c r="AC9" i="16"/>
  <c r="AC8" i="16"/>
  <c r="D3" i="16"/>
  <c r="E8" i="15"/>
  <c r="E7" i="15"/>
  <c r="R16" i="15"/>
  <c r="R14" i="15"/>
  <c r="D3" i="14"/>
  <c r="J12" i="10"/>
  <c r="F14" i="15" l="1"/>
  <c r="J14" i="15" s="1"/>
  <c r="G25" i="17" s="1"/>
  <c r="P14" i="15"/>
  <c r="V14" i="15" s="1"/>
  <c r="F16" i="15"/>
  <c r="J16" i="15" s="1"/>
  <c r="G27" i="17" s="1"/>
  <c r="P16" i="15"/>
  <c r="V16" i="15" s="1"/>
  <c r="I10" i="16"/>
  <c r="B8" i="17"/>
  <c r="I8" i="17" s="1"/>
  <c r="E8" i="17"/>
  <c r="H8" i="17" s="1"/>
  <c r="B6" i="17"/>
  <c r="I6" i="17" s="1"/>
  <c r="E6" i="17"/>
  <c r="H6" i="17" s="1"/>
  <c r="L3" i="20"/>
  <c r="P8" i="20" s="1"/>
  <c r="M12" i="19"/>
  <c r="D17" i="19"/>
  <c r="E9" i="18"/>
  <c r="E8" i="18"/>
  <c r="K3" i="18"/>
  <c r="T12" i="18"/>
  <c r="O8" i="18"/>
  <c r="O9" i="18"/>
  <c r="N30" i="18"/>
  <c r="H3" i="16"/>
  <c r="I9" i="16"/>
  <c r="E12" i="18" l="1"/>
  <c r="L27" i="18" s="1"/>
  <c r="A20" i="18"/>
  <c r="B3" i="21"/>
  <c r="A27" i="18"/>
  <c r="A30" i="18" s="1"/>
  <c r="I7" i="19"/>
  <c r="O3" i="20"/>
  <c r="C4" i="21"/>
  <c r="B27" i="18"/>
  <c r="B30" i="18" s="1"/>
  <c r="F30" i="18" s="1"/>
  <c r="I3" i="21" s="1"/>
  <c r="M27" i="18"/>
  <c r="C3" i="21"/>
  <c r="K3" i="20"/>
  <c r="W8" i="20"/>
  <c r="G16" i="21" s="1"/>
  <c r="AB8" i="20"/>
  <c r="AG8" i="20" s="1"/>
  <c r="D16" i="21"/>
  <c r="D27" i="17"/>
  <c r="D25" i="17"/>
  <c r="N20" i="18"/>
  <c r="M23" i="18" s="1"/>
  <c r="F4" i="21" s="1"/>
  <c r="O12" i="18"/>
  <c r="I3" i="20"/>
  <c r="E3" i="19"/>
  <c r="G12" i="21"/>
  <c r="D12" i="21"/>
  <c r="C20" i="18"/>
  <c r="D7" i="19" s="1"/>
  <c r="L12" i="19" s="1"/>
  <c r="D4" i="1"/>
  <c r="B4" i="21" l="1"/>
  <c r="H7" i="19"/>
  <c r="L20" i="18"/>
  <c r="L23" i="18" s="1"/>
  <c r="N3" i="20"/>
  <c r="A23" i="18"/>
  <c r="E3" i="21" s="1"/>
  <c r="C7" i="19"/>
  <c r="V8" i="20"/>
  <c r="F16" i="21" s="1"/>
  <c r="Z8" i="20"/>
  <c r="AF8" i="20" s="1"/>
  <c r="C16" i="21"/>
  <c r="C17" i="19"/>
  <c r="I17" i="19" s="1"/>
  <c r="F3" i="19"/>
  <c r="G3" i="19" s="1"/>
  <c r="M3" i="20"/>
  <c r="I8" i="20" s="1"/>
  <c r="B23" i="18"/>
  <c r="I6" i="21" l="1"/>
  <c r="E4" i="21"/>
  <c r="Q23" i="18"/>
  <c r="H4" i="21" s="1"/>
  <c r="F3" i="21"/>
  <c r="F23" i="18"/>
  <c r="H3" i="21" s="1"/>
  <c r="Y8" i="20"/>
  <c r="AE8" i="20" s="1"/>
  <c r="U8" i="20"/>
  <c r="X8" i="20" s="1"/>
  <c r="H16" i="21" s="1"/>
  <c r="B16" i="21"/>
  <c r="F7" i="19"/>
  <c r="B12" i="19" s="1"/>
  <c r="E8" i="12"/>
  <c r="E7" i="12"/>
  <c r="F14" i="12" l="1"/>
  <c r="P14" i="12"/>
  <c r="T14" i="12" s="1"/>
  <c r="F16" i="12"/>
  <c r="P16" i="12"/>
  <c r="T16" i="12" s="1"/>
  <c r="E6" i="21"/>
  <c r="H6" i="21" s="1"/>
  <c r="K12" i="19"/>
  <c r="N12" i="19" s="1"/>
  <c r="AH8" i="20"/>
  <c r="I16" i="21" s="1"/>
  <c r="D3" i="7" s="1"/>
  <c r="B17" i="19"/>
  <c r="H17" i="19" s="1"/>
  <c r="K17" i="19" s="1"/>
  <c r="M30" i="18"/>
  <c r="Q30" i="18" s="1"/>
  <c r="I4" i="21" s="1"/>
  <c r="L30" i="18"/>
  <c r="C12" i="21"/>
  <c r="J16" i="12" l="1"/>
  <c r="G24" i="5" s="1"/>
  <c r="D24" i="5"/>
  <c r="D22" i="5"/>
  <c r="J14" i="12"/>
  <c r="G22" i="5" s="1"/>
  <c r="E12" i="21"/>
  <c r="B12" i="21"/>
  <c r="I12" i="21"/>
  <c r="E16" i="21"/>
  <c r="F12" i="21"/>
  <c r="H12" i="21" s="1"/>
  <c r="AK74" i="12" l="1"/>
  <c r="AI69" i="12"/>
  <c r="AH29" i="11"/>
  <c r="AG23" i="11"/>
  <c r="N23" i="10"/>
  <c r="C23" i="10"/>
  <c r="J15" i="10"/>
  <c r="T12" i="10"/>
  <c r="J14" i="10"/>
  <c r="G11" i="10"/>
  <c r="J11" i="10" s="1"/>
  <c r="T10" i="10"/>
  <c r="G10" i="10"/>
  <c r="J10" i="10" s="1"/>
  <c r="T9" i="10"/>
  <c r="M9" i="10"/>
  <c r="L9" i="10"/>
  <c r="J9" i="10"/>
  <c r="C9" i="10"/>
  <c r="B9" i="10"/>
  <c r="T8" i="10"/>
  <c r="M8" i="10"/>
  <c r="L8" i="10"/>
  <c r="J8" i="10"/>
  <c r="C8" i="10"/>
  <c r="B8" i="10"/>
  <c r="T7" i="10"/>
  <c r="L7" i="10"/>
  <c r="O7" i="10" s="1"/>
  <c r="J7" i="10"/>
  <c r="B7" i="10"/>
  <c r="E7" i="10" s="1"/>
  <c r="T3" i="10"/>
  <c r="U3" i="10" s="1"/>
  <c r="O3" i="10"/>
  <c r="N3" i="10"/>
  <c r="M3" i="10"/>
  <c r="K3" i="10"/>
  <c r="I3" i="10"/>
  <c r="G3" i="10"/>
  <c r="D3" i="10"/>
  <c r="B3" i="10"/>
  <c r="J22" i="9"/>
  <c r="C22" i="9"/>
  <c r="J14" i="9"/>
  <c r="J13" i="9"/>
  <c r="G11" i="9"/>
  <c r="J11" i="9" s="1"/>
  <c r="T10" i="9"/>
  <c r="G10" i="9"/>
  <c r="J10" i="9" s="1"/>
  <c r="T9" i="9"/>
  <c r="M9" i="9"/>
  <c r="L9" i="9"/>
  <c r="J9" i="9"/>
  <c r="C9" i="9"/>
  <c r="B9" i="9"/>
  <c r="T8" i="9"/>
  <c r="M8" i="9"/>
  <c r="L8" i="9"/>
  <c r="J8" i="9"/>
  <c r="C8" i="9"/>
  <c r="E8" i="9" s="1"/>
  <c r="B8" i="9"/>
  <c r="T7" i="9"/>
  <c r="T12" i="9" s="1"/>
  <c r="L7" i="9"/>
  <c r="O7" i="9" s="1"/>
  <c r="J7" i="9"/>
  <c r="B7" i="9"/>
  <c r="E7" i="9" s="1"/>
  <c r="T3" i="9"/>
  <c r="U3" i="9" s="1"/>
  <c r="O3" i="9"/>
  <c r="N3" i="9"/>
  <c r="M3" i="9"/>
  <c r="K3" i="9"/>
  <c r="I3" i="9"/>
  <c r="G3" i="9"/>
  <c r="D3" i="9"/>
  <c r="B3" i="9"/>
  <c r="J13" i="10" l="1"/>
  <c r="J12" i="9"/>
  <c r="B26" i="9" s="1"/>
  <c r="L3" i="13"/>
  <c r="H12" i="11"/>
  <c r="D30" i="11" s="1"/>
  <c r="S30" i="11" s="1"/>
  <c r="V3" i="13"/>
  <c r="H11" i="11"/>
  <c r="D28" i="11" s="1"/>
  <c r="S28" i="11" s="1"/>
  <c r="Q3" i="10"/>
  <c r="B3" i="15"/>
  <c r="V3" i="16"/>
  <c r="N15" i="16" s="1"/>
  <c r="H7" i="11"/>
  <c r="G16" i="5"/>
  <c r="J19" i="9"/>
  <c r="O11" i="11"/>
  <c r="N20" i="10"/>
  <c r="Q3" i="9"/>
  <c r="B3" i="12"/>
  <c r="P3" i="13" s="1"/>
  <c r="R3" i="13" s="1"/>
  <c r="X3" i="13" s="1"/>
  <c r="K15" i="13" s="1"/>
  <c r="E9" i="9"/>
  <c r="O8" i="9"/>
  <c r="O12" i="9" s="1"/>
  <c r="O9" i="9"/>
  <c r="E8" i="10"/>
  <c r="E12" i="10" s="1"/>
  <c r="E9" i="10"/>
  <c r="O8" i="10"/>
  <c r="O9" i="10"/>
  <c r="G18" i="5"/>
  <c r="M23" i="10"/>
  <c r="I22" i="9"/>
  <c r="E12" i="9"/>
  <c r="A19" i="9" s="1"/>
  <c r="K3" i="16" l="1"/>
  <c r="C20" i="10"/>
  <c r="B23" i="10" s="1"/>
  <c r="F3" i="17" s="1"/>
  <c r="D8" i="15"/>
  <c r="U3" i="16"/>
  <c r="D7" i="15"/>
  <c r="D14" i="15" s="1"/>
  <c r="D7" i="12"/>
  <c r="G7" i="11"/>
  <c r="K3" i="13"/>
  <c r="D8" i="12"/>
  <c r="G12" i="11"/>
  <c r="AA30" i="11" s="1"/>
  <c r="G11" i="11"/>
  <c r="U3" i="13"/>
  <c r="N15" i="13" s="1"/>
  <c r="C19" i="9"/>
  <c r="C3" i="5"/>
  <c r="B3" i="17"/>
  <c r="I3" i="16"/>
  <c r="K8" i="16" s="1"/>
  <c r="A20" i="10"/>
  <c r="S3" i="16"/>
  <c r="A27" i="10"/>
  <c r="P3" i="16"/>
  <c r="D3" i="15"/>
  <c r="C3" i="17"/>
  <c r="B27" i="10"/>
  <c r="H19" i="9"/>
  <c r="H22" i="9" s="1"/>
  <c r="N11" i="11"/>
  <c r="G4" i="8"/>
  <c r="I4" i="8" s="1"/>
  <c r="C8" i="12"/>
  <c r="E3" i="12"/>
  <c r="C7" i="12"/>
  <c r="F3" i="11"/>
  <c r="G3" i="11" s="1"/>
  <c r="G5" i="8"/>
  <c r="I5" i="8" s="1"/>
  <c r="O12" i="10"/>
  <c r="C30" i="10"/>
  <c r="A23" i="10"/>
  <c r="A22" i="9"/>
  <c r="C29" i="9"/>
  <c r="J29" i="9"/>
  <c r="A3" i="7"/>
  <c r="A7" i="22" s="1"/>
  <c r="J7" i="22" s="1"/>
  <c r="A4" i="7"/>
  <c r="A8" i="22" s="1"/>
  <c r="J8" i="22" s="1"/>
  <c r="A5" i="7"/>
  <c r="A9" i="22" s="1"/>
  <c r="J9" i="22" s="1"/>
  <c r="A6" i="7"/>
  <c r="A10" i="22" s="1"/>
  <c r="J10" i="22" s="1"/>
  <c r="A7" i="7"/>
  <c r="A11" i="22" s="1"/>
  <c r="J11" i="22" s="1"/>
  <c r="A8" i="7"/>
  <c r="A12" i="22" s="1"/>
  <c r="J12" i="22" s="1"/>
  <c r="A9" i="7"/>
  <c r="J13" i="22" s="1"/>
  <c r="A10" i="7"/>
  <c r="A2" i="7"/>
  <c r="A6" i="22" s="1"/>
  <c r="J6" i="22" s="1"/>
  <c r="D14" i="3"/>
  <c r="D13" i="3"/>
  <c r="D12" i="3"/>
  <c r="D11" i="3"/>
  <c r="D10" i="3"/>
  <c r="D9" i="3"/>
  <c r="D8" i="3"/>
  <c r="D7" i="3"/>
  <c r="E7" i="3" s="1"/>
  <c r="G12" i="3" s="1"/>
  <c r="H12" i="3" s="1"/>
  <c r="I8" i="2"/>
  <c r="I21" i="2" s="1"/>
  <c r="T4" i="22" l="1"/>
  <c r="J4" i="22"/>
  <c r="AA28" i="11"/>
  <c r="D19" i="11"/>
  <c r="G9" i="11"/>
  <c r="AA23" i="11" s="1"/>
  <c r="AA21" i="11"/>
  <c r="N8" i="13"/>
  <c r="N9" i="13"/>
  <c r="N10" i="13"/>
  <c r="N8" i="16"/>
  <c r="N10" i="16"/>
  <c r="N9" i="16"/>
  <c r="D14" i="12"/>
  <c r="C22" i="5" s="1"/>
  <c r="O14" i="12"/>
  <c r="S14" i="12" s="1"/>
  <c r="C34" i="5"/>
  <c r="S15" i="13"/>
  <c r="F34" i="5" s="1"/>
  <c r="W15" i="13"/>
  <c r="D16" i="12"/>
  <c r="C24" i="5" s="1"/>
  <c r="O16" i="12"/>
  <c r="S16" i="12" s="1"/>
  <c r="E3" i="17"/>
  <c r="E7" i="17"/>
  <c r="H7" i="17" s="1"/>
  <c r="B7" i="17"/>
  <c r="I7" i="17" s="1"/>
  <c r="C8" i="15"/>
  <c r="C7" i="15"/>
  <c r="E3" i="14"/>
  <c r="G3" i="14" s="1"/>
  <c r="E3" i="15"/>
  <c r="F3" i="15" s="1"/>
  <c r="G3" i="15" s="1"/>
  <c r="K10" i="16"/>
  <c r="J3" i="16"/>
  <c r="N3" i="16" s="1"/>
  <c r="K9" i="16"/>
  <c r="T3" i="16"/>
  <c r="L20" i="10"/>
  <c r="L23" i="10" s="1"/>
  <c r="Q23" i="10" s="1"/>
  <c r="B4" i="17"/>
  <c r="L27" i="10"/>
  <c r="Y3" i="16"/>
  <c r="C32" i="17"/>
  <c r="O14" i="15"/>
  <c r="U14" i="15" s="1"/>
  <c r="D16" i="15"/>
  <c r="O16" i="15"/>
  <c r="U16" i="15" s="1"/>
  <c r="R3" i="16"/>
  <c r="X3" i="16" s="1"/>
  <c r="B22" i="9"/>
  <c r="F3" i="5" s="1"/>
  <c r="F23" i="10"/>
  <c r="H3" i="17" s="1"/>
  <c r="M30" i="10"/>
  <c r="I29" i="9"/>
  <c r="M42" i="2"/>
  <c r="M41" i="2"/>
  <c r="N41" i="2"/>
  <c r="O41" i="2"/>
  <c r="L41" i="2"/>
  <c r="I41" i="2"/>
  <c r="H41" i="2"/>
  <c r="M19" i="11" l="1"/>
  <c r="F14" i="5" s="1"/>
  <c r="S19" i="11"/>
  <c r="AA19" i="11" s="1"/>
  <c r="AC19" i="11" s="1"/>
  <c r="AC26" i="11" s="1"/>
  <c r="I14" i="5" s="1"/>
  <c r="C14" i="5"/>
  <c r="J8" i="16"/>
  <c r="K15" i="16"/>
  <c r="F7" i="22"/>
  <c r="F8" i="22"/>
  <c r="P7" i="22"/>
  <c r="O8" i="22"/>
  <c r="O7" i="22"/>
  <c r="G7" i="22"/>
  <c r="G10" i="11"/>
  <c r="D23" i="11"/>
  <c r="C30" i="5"/>
  <c r="AA10" i="13"/>
  <c r="AF10" i="13" s="1"/>
  <c r="I30" i="5" s="1"/>
  <c r="W10" i="13"/>
  <c r="AA9" i="13"/>
  <c r="C29" i="5"/>
  <c r="W9" i="13"/>
  <c r="F29" i="5" s="1"/>
  <c r="AA8" i="13"/>
  <c r="AF8" i="13" s="1"/>
  <c r="I28" i="5" s="1"/>
  <c r="W8" i="13"/>
  <c r="C28" i="5"/>
  <c r="F8" i="15"/>
  <c r="N16" i="15" s="1"/>
  <c r="T16" i="15" s="1"/>
  <c r="F7" i="15"/>
  <c r="N14" i="15" s="1"/>
  <c r="T14" i="15" s="1"/>
  <c r="H4" i="17"/>
  <c r="E4" i="17"/>
  <c r="L10" i="16"/>
  <c r="L8" i="16"/>
  <c r="L9" i="16"/>
  <c r="V15" i="16"/>
  <c r="J10" i="16"/>
  <c r="AA9" i="16"/>
  <c r="W9" i="16"/>
  <c r="F32" i="17" s="1"/>
  <c r="W10" i="16"/>
  <c r="C33" i="17"/>
  <c r="AA10" i="16"/>
  <c r="W15" i="16"/>
  <c r="S15" i="16"/>
  <c r="F37" i="17" s="1"/>
  <c r="C37" i="17"/>
  <c r="AA8" i="16"/>
  <c r="C31" i="17"/>
  <c r="W8" i="16"/>
  <c r="J9" i="16"/>
  <c r="F22" i="9"/>
  <c r="H3" i="5" s="1"/>
  <c r="H29" i="9"/>
  <c r="A30" i="10"/>
  <c r="B30" i="10"/>
  <c r="F30" i="10" s="1"/>
  <c r="I3" i="17" s="1"/>
  <c r="A29" i="9"/>
  <c r="A48" i="2"/>
  <c r="A49" i="2"/>
  <c r="A42" i="2"/>
  <c r="A43" i="2"/>
  <c r="A44" i="2"/>
  <c r="A45" i="2"/>
  <c r="A46" i="2"/>
  <c r="A47" i="2"/>
  <c r="A41" i="2"/>
  <c r="K41" i="2"/>
  <c r="J41" i="2"/>
  <c r="G42" i="2"/>
  <c r="H7" i="22" l="1"/>
  <c r="D3" i="25" s="1"/>
  <c r="Q7" i="22"/>
  <c r="O3" i="25" s="1"/>
  <c r="D25" i="11"/>
  <c r="AA25" i="11"/>
  <c r="C16" i="5"/>
  <c r="C18" i="5"/>
  <c r="B16" i="15"/>
  <c r="H16" i="15" s="1"/>
  <c r="E27" i="17" s="1"/>
  <c r="B14" i="15"/>
  <c r="B25" i="17" s="1"/>
  <c r="F28" i="5"/>
  <c r="Y8" i="13"/>
  <c r="H28" i="5" s="1"/>
  <c r="F30" i="5"/>
  <c r="Y10" i="13"/>
  <c r="H30" i="5" s="1"/>
  <c r="Z15" i="16"/>
  <c r="H14" i="15"/>
  <c r="E25" i="17" s="1"/>
  <c r="V10" i="16"/>
  <c r="E33" i="17" s="1"/>
  <c r="B33" i="17"/>
  <c r="Z10" i="16"/>
  <c r="AF10" i="16" s="1"/>
  <c r="I33" i="17" s="1"/>
  <c r="I4" i="7" s="1"/>
  <c r="I5" i="7" s="1"/>
  <c r="I6" i="7" s="1"/>
  <c r="B27" i="17"/>
  <c r="B31" i="17"/>
  <c r="Z8" i="16"/>
  <c r="AF8" i="16" s="1"/>
  <c r="I31" i="17" s="1"/>
  <c r="N4" i="7" s="1"/>
  <c r="V8" i="16"/>
  <c r="E31" i="17" s="1"/>
  <c r="F31" i="17"/>
  <c r="F33" i="17"/>
  <c r="Y10" i="16"/>
  <c r="H33" i="17" s="1"/>
  <c r="B37" i="17"/>
  <c r="R15" i="16"/>
  <c r="E37" i="17" s="1"/>
  <c r="B32" i="17"/>
  <c r="Z9" i="16"/>
  <c r="AF9" i="16" s="1"/>
  <c r="I32" i="17" s="1"/>
  <c r="S4" i="7" s="1"/>
  <c r="S5" i="7" s="1"/>
  <c r="S6" i="7" s="1"/>
  <c r="V9" i="16"/>
  <c r="W14" i="15"/>
  <c r="I25" i="17" s="1"/>
  <c r="I16" i="15"/>
  <c r="C27" i="17"/>
  <c r="W16" i="15"/>
  <c r="I27" i="17" s="1"/>
  <c r="I14" i="15"/>
  <c r="K14" i="15" s="1"/>
  <c r="H25" i="17" s="1"/>
  <c r="C25" i="17"/>
  <c r="B29" i="9"/>
  <c r="I14" i="12"/>
  <c r="F22" i="5" s="1"/>
  <c r="M23" i="11"/>
  <c r="M21" i="11"/>
  <c r="I16" i="12"/>
  <c r="F24" i="5" s="1"/>
  <c r="M25" i="11"/>
  <c r="L30" i="10"/>
  <c r="Q30" i="10" s="1"/>
  <c r="M29" i="2"/>
  <c r="N28" i="2"/>
  <c r="O28" i="2"/>
  <c r="I35" i="2"/>
  <c r="I48" i="2" s="1"/>
  <c r="H28" i="2"/>
  <c r="I28" i="2"/>
  <c r="J28" i="2"/>
  <c r="K28" i="2"/>
  <c r="L28" i="2"/>
  <c r="M28" i="2"/>
  <c r="I7" i="2"/>
  <c r="I34" i="2" s="1"/>
  <c r="I47" i="2" s="1"/>
  <c r="C7" i="2"/>
  <c r="I6" i="2"/>
  <c r="I33" i="2" s="1"/>
  <c r="I46" i="2" s="1"/>
  <c r="C6" i="2"/>
  <c r="I5" i="2"/>
  <c r="I32" i="2" s="1"/>
  <c r="I45" i="2" s="1"/>
  <c r="C5" i="2"/>
  <c r="I4" i="2"/>
  <c r="I31" i="2" s="1"/>
  <c r="I44" i="2" s="1"/>
  <c r="C4" i="2"/>
  <c r="I3" i="2"/>
  <c r="I30" i="2" s="1"/>
  <c r="I43" i="2" s="1"/>
  <c r="C3" i="2"/>
  <c r="M2" i="2"/>
  <c r="I2" i="2"/>
  <c r="I29" i="2" s="1"/>
  <c r="I42" i="2" s="1"/>
  <c r="C2" i="2"/>
  <c r="M30" i="11" l="1"/>
  <c r="F18" i="5" s="1"/>
  <c r="I4" i="17"/>
  <c r="Y8" i="16"/>
  <c r="H31" i="17" s="1"/>
  <c r="U15" i="16"/>
  <c r="H37" i="17" s="1"/>
  <c r="I7" i="7"/>
  <c r="I8" i="7" s="1"/>
  <c r="I9" i="7" s="1"/>
  <c r="N5" i="7"/>
  <c r="N6" i="7" s="1"/>
  <c r="N7" i="7" s="1"/>
  <c r="N8" i="7" s="1"/>
  <c r="N9" i="7" s="1"/>
  <c r="E32" i="17"/>
  <c r="Y9" i="16"/>
  <c r="H32" i="17" s="1"/>
  <c r="I37" i="17"/>
  <c r="D4" i="7" s="1"/>
  <c r="D5" i="7" s="1"/>
  <c r="D6" i="7" s="1"/>
  <c r="F25" i="17"/>
  <c r="F27" i="17"/>
  <c r="K16" i="15"/>
  <c r="H27" i="17" s="1"/>
  <c r="F29" i="9"/>
  <c r="I3" i="5" s="1"/>
  <c r="M2" i="1"/>
  <c r="E5" i="1"/>
  <c r="D5" i="1"/>
  <c r="B5" i="2" s="1"/>
  <c r="D5" i="2" s="1"/>
  <c r="M28" i="11" l="1"/>
  <c r="F16" i="5" s="1"/>
  <c r="O2" i="1"/>
  <c r="K13" i="1" s="1"/>
  <c r="D3" i="1"/>
  <c r="B3" i="2" s="1"/>
  <c r="B4" i="2"/>
  <c r="D4" i="2" s="1"/>
  <c r="D6" i="1"/>
  <c r="B6" i="2" s="1"/>
  <c r="D6" i="2" s="1"/>
  <c r="D7" i="1"/>
  <c r="D8" i="1"/>
  <c r="D3" i="2" l="1"/>
  <c r="R15" i="25"/>
  <c r="G15" i="25"/>
  <c r="R4" i="25"/>
  <c r="G4" i="25"/>
  <c r="B2" i="2"/>
  <c r="E2" i="1"/>
  <c r="E8" i="1"/>
  <c r="B8" i="2"/>
  <c r="D8" i="2" s="1"/>
  <c r="E7" i="1"/>
  <c r="B7" i="2"/>
  <c r="D7" i="2" s="1"/>
  <c r="E4" i="1"/>
  <c r="E3" i="1"/>
  <c r="D9" i="1"/>
  <c r="E6" i="1"/>
  <c r="D2" i="2" l="1"/>
  <c r="R14" i="25"/>
  <c r="R3" i="25"/>
  <c r="G3" i="25"/>
  <c r="D9" i="2"/>
  <c r="E9" i="1"/>
  <c r="E2" i="2" l="1"/>
  <c r="E4" i="2"/>
  <c r="E8" i="2"/>
  <c r="B9" i="25" s="1"/>
  <c r="E7" i="2"/>
  <c r="E5" i="2"/>
  <c r="E6" i="2"/>
  <c r="E3" i="2"/>
  <c r="F2" i="2" l="1"/>
  <c r="C3" i="25" s="1"/>
  <c r="E3" i="25" s="1"/>
  <c r="F7" i="2"/>
  <c r="H7" i="2" s="1"/>
  <c r="N3" i="25"/>
  <c r="P3" i="25" s="1"/>
  <c r="B15" i="25"/>
  <c r="M15" i="25"/>
  <c r="M4" i="25"/>
  <c r="B4" i="25"/>
  <c r="B20" i="25"/>
  <c r="M20" i="25"/>
  <c r="M9" i="25"/>
  <c r="B18" i="25"/>
  <c r="M18" i="25"/>
  <c r="M7" i="25"/>
  <c r="B7" i="25"/>
  <c r="H2" i="2"/>
  <c r="H15" i="2" s="1"/>
  <c r="M17" i="25"/>
  <c r="B17" i="25"/>
  <c r="M6" i="25"/>
  <c r="B6" i="25"/>
  <c r="B16" i="25"/>
  <c r="M16" i="25"/>
  <c r="M5" i="25"/>
  <c r="B5" i="25"/>
  <c r="B19" i="25"/>
  <c r="M19" i="25"/>
  <c r="M8" i="25"/>
  <c r="B8" i="25"/>
  <c r="M14" i="25"/>
  <c r="B14" i="25"/>
  <c r="M3" i="25"/>
  <c r="B3" i="25"/>
  <c r="F5" i="2"/>
  <c r="N17" i="25" s="1"/>
  <c r="P17" i="25" s="1"/>
  <c r="M6" i="32" s="1"/>
  <c r="N6" i="32" s="1"/>
  <c r="F6" i="2"/>
  <c r="N18" i="25" s="1"/>
  <c r="P18" i="25" s="1"/>
  <c r="M7" i="32" s="1"/>
  <c r="N7" i="32" s="1"/>
  <c r="F4" i="2"/>
  <c r="N16" i="25" s="1"/>
  <c r="P16" i="25" s="1"/>
  <c r="M5" i="32" s="1"/>
  <c r="N5" i="32" s="1"/>
  <c r="F3" i="2"/>
  <c r="N15" i="25" s="1"/>
  <c r="P15" i="25" s="1"/>
  <c r="M4" i="32" s="1"/>
  <c r="N4" i="32" s="1"/>
  <c r="N19" i="25"/>
  <c r="P19" i="25" s="1"/>
  <c r="M8" i="32" s="1"/>
  <c r="N8" i="32" s="1"/>
  <c r="F8" i="2"/>
  <c r="N14" i="25" l="1"/>
  <c r="P14" i="25" s="1"/>
  <c r="M3" i="32" s="1"/>
  <c r="N3" i="32" s="1"/>
  <c r="C14" i="25"/>
  <c r="E14" i="25" s="1"/>
  <c r="K3" i="32" s="1"/>
  <c r="L3" i="32" s="1"/>
  <c r="N20" i="25"/>
  <c r="P20" i="25" s="1"/>
  <c r="M9" i="32" s="1"/>
  <c r="N9" i="32" s="1"/>
  <c r="C20" i="25"/>
  <c r="E20" i="25" s="1"/>
  <c r="K7" i="2"/>
  <c r="K34" i="2" s="1"/>
  <c r="K47" i="2" s="1"/>
  <c r="H8" i="7" s="1"/>
  <c r="J7" i="2"/>
  <c r="J20" i="2" s="1"/>
  <c r="J2" i="2"/>
  <c r="H29" i="2"/>
  <c r="H42" i="2" s="1"/>
  <c r="K2" i="2"/>
  <c r="K15" i="2" s="1"/>
  <c r="C3" i="7" s="1"/>
  <c r="H3" i="2"/>
  <c r="H16" i="2" s="1"/>
  <c r="C15" i="25"/>
  <c r="E15" i="25" s="1"/>
  <c r="K4" i="32" s="1"/>
  <c r="L4" i="32" s="1"/>
  <c r="N4" i="25"/>
  <c r="C4" i="25"/>
  <c r="H8" i="2"/>
  <c r="H21" i="2" s="1"/>
  <c r="N9" i="25"/>
  <c r="C9" i="25"/>
  <c r="H4" i="2"/>
  <c r="H31" i="2" s="1"/>
  <c r="H44" i="2" s="1"/>
  <c r="C16" i="25"/>
  <c r="E16" i="25" s="1"/>
  <c r="K5" i="32" s="1"/>
  <c r="L5" i="32" s="1"/>
  <c r="N5" i="25"/>
  <c r="C5" i="25"/>
  <c r="H20" i="2"/>
  <c r="C19" i="25"/>
  <c r="E19" i="25" s="1"/>
  <c r="K8" i="32" s="1"/>
  <c r="L8" i="32" s="1"/>
  <c r="N8" i="25"/>
  <c r="C8" i="25"/>
  <c r="H6" i="2"/>
  <c r="H33" i="2" s="1"/>
  <c r="H46" i="2" s="1"/>
  <c r="C18" i="25"/>
  <c r="E18" i="25" s="1"/>
  <c r="K7" i="32" s="1"/>
  <c r="L7" i="32" s="1"/>
  <c r="N7" i="25"/>
  <c r="C7" i="25"/>
  <c r="H5" i="2"/>
  <c r="H32" i="2" s="1"/>
  <c r="H45" i="2" s="1"/>
  <c r="C17" i="25"/>
  <c r="E17" i="25" s="1"/>
  <c r="K6" i="32" s="1"/>
  <c r="L6" i="32" s="1"/>
  <c r="N6" i="25"/>
  <c r="C6" i="25"/>
  <c r="L2" i="2"/>
  <c r="N2" i="2" s="1"/>
  <c r="F20" i="25" l="1"/>
  <c r="K9" i="32"/>
  <c r="L9" i="32" s="1"/>
  <c r="Q20" i="25"/>
  <c r="Q19" i="25" s="1"/>
  <c r="Q18" i="25" s="1"/>
  <c r="J15" i="2"/>
  <c r="B3" i="7" s="1"/>
  <c r="J29" i="2"/>
  <c r="J42" i="2" s="1"/>
  <c r="I20" i="25"/>
  <c r="K4" i="2"/>
  <c r="K17" i="2" s="1"/>
  <c r="C5" i="7" s="1"/>
  <c r="H35" i="2"/>
  <c r="H48" i="2" s="1"/>
  <c r="K8" i="2"/>
  <c r="K21" i="2" s="1"/>
  <c r="J4" i="2"/>
  <c r="J17" i="2" s="1"/>
  <c r="B5" i="7" s="1"/>
  <c r="J3" i="2"/>
  <c r="J16" i="2" s="1"/>
  <c r="J8" i="2"/>
  <c r="J21" i="2" s="1"/>
  <c r="B9" i="7" s="1"/>
  <c r="J6" i="2"/>
  <c r="J19" i="2" s="1"/>
  <c r="B7" i="7" s="1"/>
  <c r="K20" i="2"/>
  <c r="C8" i="7" s="1"/>
  <c r="K29" i="2"/>
  <c r="L29" i="2" s="1"/>
  <c r="N29" i="2" s="1"/>
  <c r="H34" i="2"/>
  <c r="H47" i="2" s="1"/>
  <c r="H19" i="2"/>
  <c r="K5" i="2"/>
  <c r="K18" i="2" s="1"/>
  <c r="C6" i="7" s="1"/>
  <c r="H17" i="2"/>
  <c r="H18" i="2"/>
  <c r="K3" i="2"/>
  <c r="K16" i="2" s="1"/>
  <c r="C4" i="7" s="1"/>
  <c r="K6" i="2"/>
  <c r="K19" i="2" s="1"/>
  <c r="C7" i="7" s="1"/>
  <c r="H30" i="2"/>
  <c r="H43" i="2" s="1"/>
  <c r="J5" i="2"/>
  <c r="J18" i="2" s="1"/>
  <c r="J34" i="2"/>
  <c r="J47" i="2" s="1"/>
  <c r="L15" i="2"/>
  <c r="O2" i="2"/>
  <c r="K31" i="2"/>
  <c r="S20" i="25" l="1"/>
  <c r="S19" i="25"/>
  <c r="J33" i="2"/>
  <c r="J46" i="2" s="1"/>
  <c r="Q7" i="7" s="1"/>
  <c r="T19" i="25"/>
  <c r="T20" i="25"/>
  <c r="L3" i="7"/>
  <c r="Q3" i="7"/>
  <c r="G3" i="7"/>
  <c r="F19" i="25"/>
  <c r="F18" i="25" s="1"/>
  <c r="H20" i="25"/>
  <c r="L7" i="7"/>
  <c r="J31" i="2"/>
  <c r="J44" i="2" s="1"/>
  <c r="G5" i="7" s="1"/>
  <c r="Q8" i="7"/>
  <c r="L8" i="7"/>
  <c r="K42" i="2"/>
  <c r="H3" i="7" s="1"/>
  <c r="K32" i="2"/>
  <c r="K45" i="2" s="1"/>
  <c r="J30" i="2"/>
  <c r="J43" i="2" s="1"/>
  <c r="G4" i="7" s="1"/>
  <c r="C9" i="7"/>
  <c r="L21" i="2"/>
  <c r="L3" i="2"/>
  <c r="N3" i="2" s="1"/>
  <c r="O3" i="2" s="1"/>
  <c r="K33" i="2"/>
  <c r="K46" i="2" s="1"/>
  <c r="L8" i="2"/>
  <c r="N8" i="2" s="1"/>
  <c r="L4" i="2"/>
  <c r="N4" i="2" s="1"/>
  <c r="K35" i="2"/>
  <c r="L35" i="2" s="1"/>
  <c r="J35" i="2"/>
  <c r="J48" i="2" s="1"/>
  <c r="L7" i="2"/>
  <c r="K30" i="2"/>
  <c r="K43" i="2" s="1"/>
  <c r="Q17" i="25"/>
  <c r="T18" i="25"/>
  <c r="S18" i="25"/>
  <c r="L5" i="2"/>
  <c r="N5" i="2" s="1"/>
  <c r="L6" i="2"/>
  <c r="N6" i="2" s="1"/>
  <c r="L18" i="2"/>
  <c r="N18" i="2" s="1"/>
  <c r="J32" i="2"/>
  <c r="J45" i="2" s="1"/>
  <c r="N21" i="2"/>
  <c r="B8" i="7"/>
  <c r="L17" i="2"/>
  <c r="N17" i="2" s="1"/>
  <c r="B4" i="7"/>
  <c r="L19" i="2"/>
  <c r="N19" i="2" s="1"/>
  <c r="B6" i="7"/>
  <c r="L34" i="2"/>
  <c r="N15" i="2"/>
  <c r="G8" i="7"/>
  <c r="G7" i="7"/>
  <c r="K44" i="2"/>
  <c r="L16" i="2"/>
  <c r="L42" i="2"/>
  <c r="G6" i="7"/>
  <c r="L20" i="2"/>
  <c r="O29" i="2"/>
  <c r="N7" i="2"/>
  <c r="D4" i="4" l="1"/>
  <c r="L31" i="2"/>
  <c r="N31" i="2" s="1"/>
  <c r="K48" i="2"/>
  <c r="R9" i="7" s="1"/>
  <c r="L32" i="2"/>
  <c r="N32" i="2" s="1"/>
  <c r="A15" i="7"/>
  <c r="I19" i="25"/>
  <c r="H19" i="25"/>
  <c r="R5" i="7"/>
  <c r="M5" i="7"/>
  <c r="M4" i="7"/>
  <c r="R4" i="7"/>
  <c r="Q5" i="7"/>
  <c r="L5" i="7"/>
  <c r="M8" i="7"/>
  <c r="R8" i="7"/>
  <c r="M9" i="7"/>
  <c r="L6" i="7"/>
  <c r="Q6" i="7"/>
  <c r="M3" i="7"/>
  <c r="R3" i="7"/>
  <c r="R6" i="7"/>
  <c r="M6" i="7"/>
  <c r="L9" i="7"/>
  <c r="Q9" i="7"/>
  <c r="M7" i="7"/>
  <c r="R7" i="7"/>
  <c r="Q4" i="7"/>
  <c r="L4" i="7"/>
  <c r="N42" i="2"/>
  <c r="O42" i="2" s="1"/>
  <c r="J3" i="7" s="1"/>
  <c r="L30" i="2"/>
  <c r="N30" i="2" s="1"/>
  <c r="G9" i="7"/>
  <c r="L33" i="2"/>
  <c r="N33" i="2" s="1"/>
  <c r="Q16" i="25"/>
  <c r="T17" i="25"/>
  <c r="S17" i="25"/>
  <c r="F17" i="25"/>
  <c r="H18" i="25"/>
  <c r="I18" i="25"/>
  <c r="L44" i="2"/>
  <c r="N44" i="2" s="1"/>
  <c r="H5" i="7"/>
  <c r="N20" i="2"/>
  <c r="H4" i="7"/>
  <c r="L43" i="2"/>
  <c r="N43" i="2" s="1"/>
  <c r="L47" i="2"/>
  <c r="N47" i="2" s="1"/>
  <c r="H9" i="7"/>
  <c r="N16" i="2"/>
  <c r="O18" i="2" s="1"/>
  <c r="E6" i="7" s="1"/>
  <c r="O15" i="2"/>
  <c r="E3" i="7" s="1"/>
  <c r="L46" i="2"/>
  <c r="N46" i="2" s="1"/>
  <c r="H7" i="7"/>
  <c r="H6" i="7"/>
  <c r="L45" i="2"/>
  <c r="N45" i="2" s="1"/>
  <c r="O8" i="2"/>
  <c r="O6" i="2"/>
  <c r="N34" i="2"/>
  <c r="N35" i="2"/>
  <c r="O7" i="2"/>
  <c r="O4" i="2"/>
  <c r="O5" i="2"/>
  <c r="L48" i="2" l="1"/>
  <c r="N48" i="2" s="1"/>
  <c r="A20" i="7"/>
  <c r="D10" i="4"/>
  <c r="A25" i="7"/>
  <c r="D11" i="4"/>
  <c r="Q15" i="25"/>
  <c r="T16" i="25"/>
  <c r="S16" i="25"/>
  <c r="O20" i="2"/>
  <c r="E8" i="7" s="1"/>
  <c r="O16" i="2"/>
  <c r="E4" i="7" s="1"/>
  <c r="H17" i="25"/>
  <c r="I17" i="25"/>
  <c r="F16" i="25"/>
  <c r="F15" i="25" s="1"/>
  <c r="F14" i="25" s="1"/>
  <c r="T3" i="7"/>
  <c r="O3" i="7"/>
  <c r="O17" i="2"/>
  <c r="E5" i="7" s="1"/>
  <c r="O19" i="2"/>
  <c r="E7" i="7" s="1"/>
  <c r="O21" i="2"/>
  <c r="E9" i="7" s="1"/>
  <c r="O47" i="2"/>
  <c r="O44" i="2"/>
  <c r="O48" i="2"/>
  <c r="O43" i="2"/>
  <c r="O46" i="2"/>
  <c r="O45" i="2"/>
  <c r="O32" i="2"/>
  <c r="O34" i="2"/>
  <c r="O30" i="2"/>
  <c r="O33" i="2"/>
  <c r="O31" i="2"/>
  <c r="O35" i="2"/>
  <c r="Q14" i="25" l="1"/>
  <c r="T15" i="25"/>
  <c r="S15" i="25"/>
  <c r="J7" i="7"/>
  <c r="J5" i="7"/>
  <c r="O4" i="7"/>
  <c r="T4" i="7"/>
  <c r="T9" i="7"/>
  <c r="O9" i="7"/>
  <c r="I16" i="25"/>
  <c r="H16" i="25"/>
  <c r="T6" i="7"/>
  <c r="O6" i="7"/>
  <c r="T5" i="7"/>
  <c r="O5" i="7"/>
  <c r="T7" i="7"/>
  <c r="O7" i="7"/>
  <c r="O8" i="7"/>
  <c r="T8" i="7"/>
  <c r="J4" i="7"/>
  <c r="J9" i="7"/>
  <c r="B20" i="7" s="1"/>
  <c r="J8" i="7"/>
  <c r="J6" i="7"/>
  <c r="G4" i="22"/>
  <c r="I4" i="22" s="1"/>
  <c r="G11" i="22" l="1"/>
  <c r="P8" i="22"/>
  <c r="Q8" i="22" s="1"/>
  <c r="O4" i="25" s="1"/>
  <c r="P4" i="25" s="1"/>
  <c r="O9" i="22"/>
  <c r="G9" i="22"/>
  <c r="P10" i="22"/>
  <c r="F11" i="22"/>
  <c r="G8" i="22"/>
  <c r="H8" i="22" s="1"/>
  <c r="D4" i="25" s="1"/>
  <c r="E4" i="25" s="1"/>
  <c r="O11" i="22"/>
  <c r="O10" i="22"/>
  <c r="F9" i="22"/>
  <c r="G10" i="22"/>
  <c r="F10" i="22"/>
  <c r="P11" i="22"/>
  <c r="P9" i="22"/>
  <c r="F13" i="22"/>
  <c r="H13" i="22" s="1"/>
  <c r="B6" i="5"/>
  <c r="I6" i="5" s="1"/>
  <c r="E6" i="5"/>
  <c r="H6" i="5" s="1"/>
  <c r="S14" i="25"/>
  <c r="S21" i="25" s="1"/>
  <c r="T14" i="25"/>
  <c r="T21" i="25" s="1"/>
  <c r="I15" i="25"/>
  <c r="H15" i="25"/>
  <c r="P12" i="22"/>
  <c r="O12" i="22"/>
  <c r="O13" i="22"/>
  <c r="G12" i="22"/>
  <c r="F12" i="22"/>
  <c r="Q13" i="22" l="1"/>
  <c r="O9" i="25" s="1"/>
  <c r="P9" i="25" s="1"/>
  <c r="Q9" i="25" s="1"/>
  <c r="J12" i="11"/>
  <c r="J11" i="11"/>
  <c r="J7" i="11"/>
  <c r="B19" i="11" s="1"/>
  <c r="L19" i="11" s="1"/>
  <c r="O19" i="11" s="1"/>
  <c r="U14" i="25"/>
  <c r="I14" i="25"/>
  <c r="I21" i="25" s="1"/>
  <c r="H14" i="25"/>
  <c r="H21" i="25" s="1"/>
  <c r="Q9" i="22"/>
  <c r="O5" i="25" s="1"/>
  <c r="P5" i="25" s="1"/>
  <c r="H12" i="22"/>
  <c r="D8" i="25" s="1"/>
  <c r="E8" i="25" s="1"/>
  <c r="H9" i="22"/>
  <c r="D5" i="25" s="1"/>
  <c r="E5" i="25" s="1"/>
  <c r="D9" i="25"/>
  <c r="E9" i="25" s="1"/>
  <c r="F9" i="25" s="1"/>
  <c r="Q11" i="22"/>
  <c r="O7" i="25" s="1"/>
  <c r="P7" i="25" s="1"/>
  <c r="Q10" i="22"/>
  <c r="O6" i="25" s="1"/>
  <c r="P6" i="25" s="1"/>
  <c r="Q12" i="22"/>
  <c r="O8" i="25" s="1"/>
  <c r="P8" i="25" s="1"/>
  <c r="H10" i="22"/>
  <c r="D6" i="25" s="1"/>
  <c r="E6" i="25" s="1"/>
  <c r="H11" i="22"/>
  <c r="D7" i="25" s="1"/>
  <c r="E7" i="25" s="1"/>
  <c r="B18" i="5" l="1"/>
  <c r="B16" i="5"/>
  <c r="T9" i="25"/>
  <c r="S9" i="25"/>
  <c r="Q8" i="25"/>
  <c r="T8" i="25" s="1"/>
  <c r="AC21" i="11"/>
  <c r="C4" i="4" s="1"/>
  <c r="E4" i="4" s="1"/>
  <c r="Z30" i="11"/>
  <c r="AC30" i="11" s="1"/>
  <c r="I18" i="5" s="1"/>
  <c r="C11" i="4" s="1"/>
  <c r="E11" i="4" s="1"/>
  <c r="L11" i="4" s="1"/>
  <c r="J11" i="4" s="1"/>
  <c r="H11" i="4" s="1"/>
  <c r="P5" i="3" s="1"/>
  <c r="AC25" i="11"/>
  <c r="Z28" i="11"/>
  <c r="AC28" i="11" s="1"/>
  <c r="AC23" i="11"/>
  <c r="J14" i="25"/>
  <c r="I9" i="25"/>
  <c r="H9" i="25"/>
  <c r="F8" i="25"/>
  <c r="L21" i="11"/>
  <c r="S8" i="25" l="1"/>
  <c r="L25" i="11"/>
  <c r="L23" i="11"/>
  <c r="Q7" i="25"/>
  <c r="Q6" i="25" s="1"/>
  <c r="L28" i="11"/>
  <c r="L4" i="4"/>
  <c r="J4" i="4" s="1"/>
  <c r="H4" i="4" s="1"/>
  <c r="P3" i="3" s="1"/>
  <c r="L30" i="11"/>
  <c r="I16" i="5"/>
  <c r="C10" i="4" s="1"/>
  <c r="E10" i="4" s="1"/>
  <c r="L10" i="4" s="1"/>
  <c r="J10" i="4" s="1"/>
  <c r="H10" i="4" s="1"/>
  <c r="P4" i="3" s="1"/>
  <c r="F7" i="25"/>
  <c r="I8" i="25"/>
  <c r="H8" i="25"/>
  <c r="O21" i="11"/>
  <c r="F3" i="12"/>
  <c r="O3" i="13"/>
  <c r="D3" i="12"/>
  <c r="B7" i="5" s="1"/>
  <c r="I7" i="5" s="1"/>
  <c r="E7" i="5"/>
  <c r="H7" i="5" s="1"/>
  <c r="E16" i="5" l="1"/>
  <c r="O28" i="11"/>
  <c r="H16" i="5" s="1"/>
  <c r="O25" i="11"/>
  <c r="O23" i="11"/>
  <c r="S7" i="25"/>
  <c r="T7" i="25"/>
  <c r="G3" i="12"/>
  <c r="E18" i="5"/>
  <c r="O30" i="11"/>
  <c r="H18" i="5" s="1"/>
  <c r="Q5" i="25"/>
  <c r="T6" i="25"/>
  <c r="S6" i="25"/>
  <c r="F6" i="25"/>
  <c r="I7" i="25"/>
  <c r="H7" i="25"/>
  <c r="F7" i="12"/>
  <c r="B14" i="12" s="1"/>
  <c r="F8" i="12"/>
  <c r="O26" i="11" l="1"/>
  <c r="H14" i="5" s="1"/>
  <c r="Q4" i="25"/>
  <c r="S5" i="25"/>
  <c r="T5" i="25"/>
  <c r="F5" i="25"/>
  <c r="I6" i="25"/>
  <c r="H6" i="25"/>
  <c r="N16" i="12"/>
  <c r="R16" i="12" s="1"/>
  <c r="U16" i="12" s="1"/>
  <c r="I24" i="5" s="1"/>
  <c r="D5" i="8" s="1"/>
  <c r="B16" i="12"/>
  <c r="N14" i="12"/>
  <c r="R14" i="12" s="1"/>
  <c r="U14" i="12" s="1"/>
  <c r="I22" i="5" s="1"/>
  <c r="D4" i="8" s="1"/>
  <c r="J9" i="13" l="1"/>
  <c r="S4" i="25"/>
  <c r="T4" i="25"/>
  <c r="Q3" i="25"/>
  <c r="F4" i="25"/>
  <c r="F3" i="25" s="1"/>
  <c r="I5" i="25"/>
  <c r="H5" i="25"/>
  <c r="B22" i="5"/>
  <c r="H14" i="12"/>
  <c r="K14" i="12" s="1"/>
  <c r="B24" i="5"/>
  <c r="H16" i="12"/>
  <c r="R15" i="13" l="1"/>
  <c r="B34" i="5"/>
  <c r="V15" i="13"/>
  <c r="Z15" i="13" s="1"/>
  <c r="I34" i="5" s="1"/>
  <c r="D7" i="7" s="1"/>
  <c r="D8" i="7" s="1"/>
  <c r="D9" i="7" s="1"/>
  <c r="B15" i="7" s="1"/>
  <c r="V9" i="13"/>
  <c r="B29" i="5"/>
  <c r="Z9" i="13"/>
  <c r="AF9" i="13" s="1"/>
  <c r="I29" i="5" s="1"/>
  <c r="S7" i="7" s="1"/>
  <c r="S8" i="7" s="1"/>
  <c r="S9" i="7" s="1"/>
  <c r="B25" i="7" s="1"/>
  <c r="T3" i="25"/>
  <c r="T10" i="25" s="1"/>
  <c r="S3" i="25"/>
  <c r="S10" i="25" s="1"/>
  <c r="I4" i="25"/>
  <c r="H4" i="25"/>
  <c r="K16" i="12"/>
  <c r="H24" i="5" s="1"/>
  <c r="C5" i="8" s="1"/>
  <c r="K5" i="8" s="1"/>
  <c r="E5" i="8" s="1"/>
  <c r="E24" i="5"/>
  <c r="H22" i="5"/>
  <c r="E22" i="5"/>
  <c r="C4" i="8" l="1"/>
  <c r="K4" i="8" s="1"/>
  <c r="E4" i="8" s="1"/>
  <c r="Y9" i="13"/>
  <c r="H29" i="5" s="1"/>
  <c r="E29" i="5"/>
  <c r="E34" i="5"/>
  <c r="U15" i="13"/>
  <c r="H34" i="5" s="1"/>
  <c r="U3" i="25"/>
  <c r="H3" i="25"/>
  <c r="H10" i="25" s="1"/>
  <c r="I3" i="25"/>
  <c r="I10" i="25" s="1"/>
  <c r="J3" i="25" l="1"/>
</calcChain>
</file>

<file path=xl/comments1.xml><?xml version="1.0" encoding="utf-8"?>
<comments xmlns="http://schemas.openxmlformats.org/spreadsheetml/2006/main">
  <authors>
    <author>Autore</author>
  </authors>
  <commentList>
    <comment ref="B2" authorId="0" shapeId="0">
      <text>
        <r>
          <rPr>
            <b/>
            <sz val="9"/>
            <color indexed="81"/>
            <rFont val="Tahoma"/>
            <family val="2"/>
          </rPr>
          <t>Autore:</t>
        </r>
        <r>
          <rPr>
            <sz val="9"/>
            <color indexed="81"/>
            <rFont val="Tahoma"/>
            <family val="2"/>
          </rPr>
          <t xml:space="preserve">
aggiungere conricione di spessore 30 cm nell'impalcato della terrazza e del torrino stesso</t>
        </r>
      </text>
    </comment>
    <comment ref="H2" authorId="0" shapeId="0">
      <text>
        <r>
          <rPr>
            <b/>
            <sz val="9"/>
            <color indexed="81"/>
            <rFont val="Tahoma"/>
            <family val="2"/>
          </rPr>
          <t>Autore:</t>
        </r>
        <r>
          <rPr>
            <sz val="9"/>
            <color indexed="81"/>
            <rFont val="Tahoma"/>
            <family val="2"/>
          </rPr>
          <t xml:space="preserve">
solo 5 piani perché il primo impalcato non è libero di spostarsi</t>
        </r>
      </text>
    </comment>
  </commentList>
</comments>
</file>

<file path=xl/sharedStrings.xml><?xml version="1.0" encoding="utf-8"?>
<sst xmlns="http://schemas.openxmlformats.org/spreadsheetml/2006/main" count="2738" uniqueCount="488">
  <si>
    <t>F</t>
  </si>
  <si>
    <t>Impalcato</t>
  </si>
  <si>
    <t>Torrino</t>
  </si>
  <si>
    <t>W peso impalcato            [kN]</t>
  </si>
  <si>
    <t>m massa [kg]</t>
  </si>
  <si>
    <r>
      <t>H</t>
    </r>
    <r>
      <rPr>
        <vertAlign val="subscript"/>
        <sz val="12"/>
        <color theme="1"/>
        <rFont val="Calibri"/>
        <family val="2"/>
        <scheme val="minor"/>
      </rPr>
      <t xml:space="preserve">tot     </t>
    </r>
    <r>
      <rPr>
        <sz val="12"/>
        <color theme="1"/>
        <rFont val="Calibri"/>
        <family val="2"/>
        <scheme val="minor"/>
      </rPr>
      <t xml:space="preserve">        [m]</t>
    </r>
  </si>
  <si>
    <r>
      <t>H</t>
    </r>
    <r>
      <rPr>
        <vertAlign val="subscript"/>
        <sz val="12"/>
        <color theme="1"/>
        <rFont val="Calibri"/>
        <family val="2"/>
        <scheme val="minor"/>
      </rPr>
      <t xml:space="preserve">tot+D  </t>
    </r>
    <r>
      <rPr>
        <sz val="12"/>
        <color theme="1"/>
        <rFont val="Calibri"/>
        <family val="2"/>
        <scheme val="minor"/>
      </rPr>
      <t xml:space="preserve">            [m]</t>
    </r>
  </si>
  <si>
    <r>
      <t>k</t>
    </r>
    <r>
      <rPr>
        <vertAlign val="subscript"/>
        <sz val="12"/>
        <color theme="1"/>
        <rFont val="Calibri"/>
        <family val="2"/>
        <scheme val="minor"/>
      </rPr>
      <t>R</t>
    </r>
  </si>
  <si>
    <t>q</t>
  </si>
  <si>
    <t>CDA</t>
  </si>
  <si>
    <t>CDB</t>
  </si>
  <si>
    <r>
      <t>T</t>
    </r>
    <r>
      <rPr>
        <vertAlign val="subscript"/>
        <sz val="12"/>
        <color theme="1"/>
        <rFont val="Calibri"/>
        <family val="2"/>
        <scheme val="minor"/>
      </rPr>
      <t>fondam.</t>
    </r>
  </si>
  <si>
    <t>Vb                      [kN]</t>
  </si>
  <si>
    <t>Grammichele</t>
  </si>
  <si>
    <t>SLV</t>
  </si>
  <si>
    <t>B</t>
  </si>
  <si>
    <t>T1</t>
  </si>
  <si>
    <t>Spettro di risposta di progetto</t>
  </si>
  <si>
    <t>Fattore di struttura           q</t>
  </si>
  <si>
    <t>Spettro di risposta elastico</t>
  </si>
  <si>
    <t>W z                       [kN m]</t>
  </si>
  <si>
    <t>z                       [m]</t>
  </si>
  <si>
    <t>V di piano             [kN]</t>
  </si>
  <si>
    <t>V di pilastro       [kN]</t>
  </si>
  <si>
    <t>Momenti pilastri al piede               [kN m]</t>
  </si>
  <si>
    <t>Momenti pilastri in testa           [kN m]</t>
  </si>
  <si>
    <t>Punto di nullo M pilastri       [m]</t>
  </si>
  <si>
    <t>Momenti Trave           [kN m]</t>
  </si>
  <si>
    <r>
      <t>V</t>
    </r>
    <r>
      <rPr>
        <vertAlign val="subscript"/>
        <sz val="11"/>
        <color theme="1"/>
        <rFont val="Calibri"/>
        <family val="2"/>
        <scheme val="minor"/>
      </rPr>
      <t>trave</t>
    </r>
    <r>
      <rPr>
        <sz val="11"/>
        <color theme="1"/>
        <rFont val="Calibri"/>
        <family val="2"/>
        <scheme val="minor"/>
      </rPr>
      <t xml:space="preserve">                [kN]</t>
    </r>
  </si>
  <si>
    <r>
      <t>ΔN</t>
    </r>
    <r>
      <rPr>
        <vertAlign val="subscript"/>
        <sz val="11"/>
        <color theme="1"/>
        <rFont val="Calibri"/>
        <family val="2"/>
      </rPr>
      <t>pilastro</t>
    </r>
    <r>
      <rPr>
        <sz val="11"/>
        <color theme="1"/>
        <rFont val="Calibri"/>
        <family val="2"/>
      </rPr>
      <t xml:space="preserve">        [kN]</t>
    </r>
  </si>
  <si>
    <t>Occorre incrementare le caratteristiche delle sollecitazioni, se la struttura possiede una sufficiente rigidezza torsionale, di un 20% per tener conto dell'eccentricità accidentale, che dipende dalla distribuzione dei carichi variabili, e dall'effetto combinanto delle due componenti. Questo incremento vale solo per i telai perimentrali.</t>
  </si>
  <si>
    <t>Inoltre occorrerebbe incrementare i momenti flettenti dei pilastri per tener conto della gerarchia delle resistenze. In realtà questo dovrebbe essere fatto dopo aver armato le travi. In prima approssimazione si possono aumentare distinguendo tra CD"A" e CD"B".</t>
  </si>
  <si>
    <t xml:space="preserve">TOT </t>
  </si>
  <si>
    <t>TOT</t>
  </si>
  <si>
    <t>sito*</t>
  </si>
  <si>
    <t>Vita nominale       Vn*</t>
  </si>
  <si>
    <t>Coeff. d'uso          cu*</t>
  </si>
  <si>
    <t>Stato limite*</t>
  </si>
  <si>
    <t>Cat. Sottosuolo di normativa*</t>
  </si>
  <si>
    <t>Cat. Topografica di normativa*</t>
  </si>
  <si>
    <t>Sd(T)*               [ag/g]</t>
  </si>
  <si>
    <r>
      <t>C</t>
    </r>
    <r>
      <rPr>
        <vertAlign val="subscript"/>
        <sz val="12"/>
        <color theme="1"/>
        <rFont val="Calibri"/>
        <family val="2"/>
        <scheme val="minor"/>
      </rPr>
      <t>1 per telaio in c.a</t>
    </r>
    <r>
      <rPr>
        <sz val="12"/>
        <color theme="1"/>
        <rFont val="Calibri"/>
        <family val="2"/>
        <scheme val="minor"/>
      </rPr>
      <t>*</t>
    </r>
  </si>
  <si>
    <r>
      <t>D</t>
    </r>
    <r>
      <rPr>
        <vertAlign val="subscript"/>
        <sz val="12"/>
        <color theme="1"/>
        <rFont val="Calibri"/>
        <family val="2"/>
        <scheme val="minor"/>
      </rPr>
      <t>affondamento</t>
    </r>
    <r>
      <rPr>
        <sz val="12"/>
        <color theme="1"/>
        <rFont val="Calibri"/>
        <family val="2"/>
        <scheme val="minor"/>
      </rPr>
      <t>*</t>
    </r>
    <r>
      <rPr>
        <vertAlign val="subscript"/>
        <sz val="12"/>
        <color theme="1"/>
        <rFont val="Calibri"/>
        <family val="2"/>
        <scheme val="minor"/>
      </rPr>
      <t xml:space="preserve">       </t>
    </r>
    <r>
      <rPr>
        <sz val="12"/>
        <color theme="1"/>
        <rFont val="Calibri"/>
        <family val="2"/>
        <scheme val="minor"/>
      </rPr>
      <t xml:space="preserve">    [m]</t>
    </r>
  </si>
  <si>
    <t>αu/α1*</t>
  </si>
  <si>
    <r>
      <t>A*                                    [m</t>
    </r>
    <r>
      <rPr>
        <vertAlign val="superscript"/>
        <sz val="12"/>
        <color theme="1"/>
        <rFont val="Calibri"/>
        <family val="2"/>
        <scheme val="minor"/>
      </rPr>
      <t>2</t>
    </r>
    <r>
      <rPr>
        <sz val="12"/>
        <color theme="1"/>
        <rFont val="Calibri"/>
        <family val="2"/>
        <scheme val="minor"/>
      </rPr>
      <t>]</t>
    </r>
  </si>
  <si>
    <r>
      <t>q*                        [kN/m</t>
    </r>
    <r>
      <rPr>
        <vertAlign val="superscript"/>
        <sz val="12"/>
        <color theme="1"/>
        <rFont val="Calibri"/>
        <family val="2"/>
        <scheme val="minor"/>
      </rPr>
      <t>2</t>
    </r>
    <r>
      <rPr>
        <sz val="12"/>
        <color theme="1"/>
        <rFont val="Calibri"/>
        <family val="2"/>
        <scheme val="minor"/>
      </rPr>
      <t>]</t>
    </r>
  </si>
  <si>
    <r>
      <t>h</t>
    </r>
    <r>
      <rPr>
        <vertAlign val="subscript"/>
        <sz val="12"/>
        <color theme="1"/>
        <rFont val="Calibri"/>
        <family val="2"/>
        <scheme val="minor"/>
      </rPr>
      <t>interpiano</t>
    </r>
    <r>
      <rPr>
        <sz val="12"/>
        <color theme="1"/>
        <rFont val="Calibri"/>
        <family val="2"/>
        <scheme val="minor"/>
      </rPr>
      <t xml:space="preserve">* </t>
    </r>
    <r>
      <rPr>
        <vertAlign val="subscript"/>
        <sz val="12"/>
        <color theme="1"/>
        <rFont val="Calibri"/>
        <family val="2"/>
        <scheme val="minor"/>
      </rPr>
      <t xml:space="preserve">             </t>
    </r>
    <r>
      <rPr>
        <sz val="12"/>
        <color theme="1"/>
        <rFont val="Calibri"/>
        <family val="2"/>
        <scheme val="minor"/>
      </rPr>
      <t xml:space="preserve">  [m]</t>
    </r>
  </si>
  <si>
    <r>
      <t>L</t>
    </r>
    <r>
      <rPr>
        <vertAlign val="subscript"/>
        <sz val="11"/>
        <color theme="1"/>
        <rFont val="Calibri"/>
        <family val="2"/>
        <scheme val="minor"/>
      </rPr>
      <t>trave, min</t>
    </r>
    <r>
      <rPr>
        <sz val="11"/>
        <color theme="1"/>
        <rFont val="Calibri"/>
        <family val="2"/>
        <scheme val="minor"/>
      </rPr>
      <t>* emergente con pilastri di coltello in direzione x [m]</t>
    </r>
  </si>
  <si>
    <t>Dimensionamento Trave Emergente</t>
  </si>
  <si>
    <t>Campata</t>
  </si>
  <si>
    <t>A-B</t>
  </si>
  <si>
    <t>B-C</t>
  </si>
  <si>
    <t>C-D</t>
  </si>
  <si>
    <t>G1k                 [KN/m]</t>
  </si>
  <si>
    <t>G2k                   [KN/m]</t>
  </si>
  <si>
    <t>Qk1                   [KN/m]</t>
  </si>
  <si>
    <r>
      <t>g</t>
    </r>
    <r>
      <rPr>
        <sz val="11"/>
        <color theme="1"/>
        <rFont val="Calibri"/>
        <family val="2"/>
        <scheme val="minor"/>
      </rPr>
      <t>G1</t>
    </r>
  </si>
  <si>
    <r>
      <t>g</t>
    </r>
    <r>
      <rPr>
        <sz val="11"/>
        <color theme="1"/>
        <rFont val="Calibri"/>
        <family val="2"/>
        <scheme val="minor"/>
      </rPr>
      <t>G2</t>
    </r>
  </si>
  <si>
    <r>
      <t>g</t>
    </r>
    <r>
      <rPr>
        <sz val="11"/>
        <color theme="1"/>
        <rFont val="Calibri"/>
        <family val="2"/>
        <scheme val="minor"/>
      </rPr>
      <t>Q1</t>
    </r>
  </si>
  <si>
    <r>
      <t>G1</t>
    </r>
    <r>
      <rPr>
        <vertAlign val="subscript"/>
        <sz val="11"/>
        <color theme="1"/>
        <rFont val="Calibri"/>
        <family val="2"/>
        <scheme val="minor"/>
      </rPr>
      <t>d</t>
    </r>
    <r>
      <rPr>
        <sz val="11"/>
        <color theme="1"/>
        <rFont val="Calibri"/>
        <family val="2"/>
        <scheme val="minor"/>
      </rPr>
      <t xml:space="preserve">                 [KN/m]</t>
    </r>
  </si>
  <si>
    <r>
      <t>G2</t>
    </r>
    <r>
      <rPr>
        <vertAlign val="subscript"/>
        <sz val="11"/>
        <color theme="1"/>
        <rFont val="Calibri"/>
        <family val="2"/>
        <scheme val="minor"/>
      </rPr>
      <t xml:space="preserve">d </t>
    </r>
    <r>
      <rPr>
        <sz val="11"/>
        <color theme="1"/>
        <rFont val="Calibri"/>
        <family val="2"/>
        <scheme val="minor"/>
      </rPr>
      <t xml:space="preserve">                  [KN/m]</t>
    </r>
  </si>
  <si>
    <r>
      <t>Qk</t>
    </r>
    <r>
      <rPr>
        <vertAlign val="subscript"/>
        <sz val="11"/>
        <color theme="1"/>
        <rFont val="Calibri"/>
        <family val="2"/>
        <scheme val="minor"/>
      </rPr>
      <t xml:space="preserve">d </t>
    </r>
    <r>
      <rPr>
        <sz val="11"/>
        <color theme="1"/>
        <rFont val="Calibri"/>
        <family val="2"/>
        <scheme val="minor"/>
      </rPr>
      <t xml:space="preserve">                  [KN/m]</t>
    </r>
  </si>
  <si>
    <r>
      <t xml:space="preserve">∑        </t>
    </r>
    <r>
      <rPr>
        <sz val="11"/>
        <color theme="1"/>
        <rFont val="Calibri"/>
        <family val="2"/>
        <scheme val="minor"/>
      </rPr>
      <t xml:space="preserve"> [kN/m]</t>
    </r>
  </si>
  <si>
    <t>Ѱ21</t>
  </si>
  <si>
    <t>Lunghezza Trave                [m]</t>
  </si>
  <si>
    <t>Momento per carichi verticali in presenza di sisma</t>
  </si>
  <si>
    <t>Momento per azione sismica</t>
  </si>
  <si>
    <t>M                    [kN m]</t>
  </si>
  <si>
    <t>M                                  [kN m]</t>
  </si>
  <si>
    <r>
      <t>M</t>
    </r>
    <r>
      <rPr>
        <vertAlign val="subscript"/>
        <sz val="11"/>
        <color theme="1"/>
        <rFont val="Calibri"/>
        <family val="2"/>
        <scheme val="minor"/>
      </rPr>
      <t xml:space="preserve">TOT </t>
    </r>
    <r>
      <rPr>
        <sz val="11"/>
        <color theme="1"/>
        <rFont val="Calibri"/>
        <family val="2"/>
        <scheme val="minor"/>
      </rPr>
      <t xml:space="preserve">               [kN m]</t>
    </r>
  </si>
  <si>
    <t>h              [cm]</t>
  </si>
  <si>
    <t>Dimensionamento</t>
  </si>
  <si>
    <t>Geometria</t>
  </si>
  <si>
    <t>Materiali</t>
  </si>
  <si>
    <t>Classecc</t>
  </si>
  <si>
    <t>16/20</t>
  </si>
  <si>
    <t>20/25</t>
  </si>
  <si>
    <t>25/30</t>
  </si>
  <si>
    <t>28/35</t>
  </si>
  <si>
    <t>35/45</t>
  </si>
  <si>
    <t>40/50</t>
  </si>
  <si>
    <t>45/55</t>
  </si>
  <si>
    <t>50/60</t>
  </si>
  <si>
    <t>Sollecitazione</t>
  </si>
  <si>
    <r>
      <t>M</t>
    </r>
    <r>
      <rPr>
        <vertAlign val="subscript"/>
        <sz val="11"/>
        <color theme="1"/>
        <rFont val="Calibri"/>
        <family val="2"/>
        <scheme val="minor"/>
      </rPr>
      <t>ED</t>
    </r>
    <r>
      <rPr>
        <sz val="11"/>
        <color theme="1"/>
        <rFont val="Calibri"/>
        <family val="2"/>
        <scheme val="minor"/>
      </rPr>
      <t xml:space="preserve">                    [kN m]</t>
    </r>
  </si>
  <si>
    <t>b*         [cm]</t>
  </si>
  <si>
    <t>c*                     [cm]</t>
  </si>
  <si>
    <t>classe*</t>
  </si>
  <si>
    <t>r</t>
  </si>
  <si>
    <t>d                             [cm]</t>
  </si>
  <si>
    <t>Dimensionamento Pilastro meno sollecitato</t>
  </si>
  <si>
    <t>G1k    trave         [KN/m]</t>
  </si>
  <si>
    <t>Dimensionamento Trave Spessore</t>
  </si>
  <si>
    <t>Geometria Pignatta</t>
  </si>
  <si>
    <t>Geometria Soletta (campata)</t>
  </si>
  <si>
    <t>Geometria Soletta (sbalzo)</t>
  </si>
  <si>
    <t>Geometria Travetto</t>
  </si>
  <si>
    <t>Interasse Travetto</t>
  </si>
  <si>
    <t xml:space="preserve"> Solaio</t>
  </si>
  <si>
    <t>Sbalzo</t>
  </si>
  <si>
    <t>h               [m]</t>
  </si>
  <si>
    <t>Verifica</t>
  </si>
  <si>
    <t>b                     [m]</t>
  </si>
  <si>
    <t>n° pignatte per un metro</t>
  </si>
  <si>
    <t>h                    [m]</t>
  </si>
  <si>
    <t>b                  [m]</t>
  </si>
  <si>
    <t>n° travetti per un metro</t>
  </si>
  <si>
    <t>i                    [m]</t>
  </si>
  <si>
    <t>H                    [m]</t>
  </si>
  <si>
    <t>Solaio</t>
  </si>
  <si>
    <t>L                    [m]</t>
  </si>
  <si>
    <t>H               [m]</t>
  </si>
  <si>
    <t>Balcone</t>
  </si>
  <si>
    <t>con travi emergenti</t>
  </si>
  <si>
    <t>Ringhiera</t>
  </si>
  <si>
    <t>Carico Permanente Strutturale G1k (campata)</t>
  </si>
  <si>
    <t>Carico Permanente non Strutturale G2k (campata)</t>
  </si>
  <si>
    <t>Carico Permanente Strutturale G1k (sbalzo)</t>
  </si>
  <si>
    <t>Carico Permanente non Strutturale G2k (sbalzo)</t>
  </si>
  <si>
    <t>Elementi</t>
  </si>
  <si>
    <t>h                            [m]</t>
  </si>
  <si>
    <t>b                         [m]</t>
  </si>
  <si>
    <t>h             [m]</t>
  </si>
  <si>
    <t>h                              [m]</t>
  </si>
  <si>
    <t>Soletta</t>
  </si>
  <si>
    <t>Massetto</t>
  </si>
  <si>
    <t>Laterizi</t>
  </si>
  <si>
    <t>Intonaco</t>
  </si>
  <si>
    <t>Travetto</t>
  </si>
  <si>
    <t>Pavimento</t>
  </si>
  <si>
    <t>Tramezzi mattoni Forati</t>
  </si>
  <si>
    <t>Guaina</t>
  </si>
  <si>
    <t>Intonaco Tramezzi</t>
  </si>
  <si>
    <t>Tot</t>
  </si>
  <si>
    <t>Tamponatura mattoni Forati</t>
  </si>
  <si>
    <t>Intonaco Tamponatura</t>
  </si>
  <si>
    <t>Qk2                   [KN/m]</t>
  </si>
  <si>
    <t>Ѱ02</t>
  </si>
  <si>
    <t>Civile dominante</t>
  </si>
  <si>
    <t>Ѱ22</t>
  </si>
  <si>
    <r>
      <t>L</t>
    </r>
    <r>
      <rPr>
        <vertAlign val="subscript"/>
        <sz val="11"/>
        <color theme="1"/>
        <rFont val="Calibri"/>
        <family val="2"/>
        <scheme val="minor"/>
      </rPr>
      <t>MAX</t>
    </r>
    <r>
      <rPr>
        <sz val="11"/>
        <color theme="1"/>
        <rFont val="Calibri"/>
        <family val="2"/>
        <scheme val="minor"/>
      </rPr>
      <t xml:space="preserve">          [m]</t>
    </r>
  </si>
  <si>
    <r>
      <t xml:space="preserve">g                         </t>
    </r>
    <r>
      <rPr>
        <sz val="11"/>
        <color theme="1"/>
        <rFont val="Calibri"/>
        <family val="2"/>
        <scheme val="minor"/>
      </rPr>
      <t>[KN/m</t>
    </r>
    <r>
      <rPr>
        <vertAlign val="superscript"/>
        <sz val="11"/>
        <color theme="1"/>
        <rFont val="Calibri"/>
        <family val="2"/>
        <scheme val="minor"/>
      </rPr>
      <t>3</t>
    </r>
    <r>
      <rPr>
        <sz val="11"/>
        <color theme="1"/>
        <rFont val="Calibri"/>
        <family val="2"/>
        <scheme val="minor"/>
      </rPr>
      <t>]</t>
    </r>
  </si>
  <si>
    <r>
      <t>g</t>
    </r>
    <r>
      <rPr>
        <sz val="11"/>
        <color theme="1"/>
        <rFont val="Calibri"/>
        <family val="2"/>
        <scheme val="minor"/>
      </rPr>
      <t>Q2</t>
    </r>
  </si>
  <si>
    <t>con travi a spessore</t>
  </si>
  <si>
    <t>Geometria Trave</t>
  </si>
  <si>
    <t>Peso trave</t>
  </si>
  <si>
    <t>Peso solaio</t>
  </si>
  <si>
    <t>Peso netto trave</t>
  </si>
  <si>
    <t>G1k             [KN/m]</t>
  </si>
  <si>
    <t>G1k                [KN/m]</t>
  </si>
  <si>
    <t>G1ktot                [KN/m]</t>
  </si>
  <si>
    <t>Analisi dei carichi della trave</t>
  </si>
  <si>
    <t>Lunghezza                             [m]</t>
  </si>
  <si>
    <t>COMBINAZIONE FONDAMENTALE SLU sfavorevole</t>
  </si>
  <si>
    <t>Dominante Qk1 solaio</t>
  </si>
  <si>
    <t>COMBINAZIONE QUASI PERMANENTE SLE sfavorevole</t>
  </si>
  <si>
    <t>Geometria Pilastro</t>
  </si>
  <si>
    <t>Pilastro</t>
  </si>
  <si>
    <t>Altezza                             [m]</t>
  </si>
  <si>
    <t xml:space="preserve">COMBINAZIONE QUASI PERMANENTE SLE (campata) </t>
  </si>
  <si>
    <t>COMBINAZIONE FONDAMENTALE SLU (sbalzo)</t>
  </si>
  <si>
    <t xml:space="preserve">COMBINAZIONE QUASI PERMANENTE SLE (sbalzo) </t>
  </si>
  <si>
    <t xml:space="preserve">COMBINAZIONE FONDAMENTALE SLU (campata) </t>
  </si>
  <si>
    <t xml:space="preserve">COMBINAZIONE FONDAMENTALE SLU (sbalzo) </t>
  </si>
  <si>
    <t>Muretto</t>
  </si>
  <si>
    <t>h*              [m]</t>
  </si>
  <si>
    <r>
      <t>Area di influenza       [m</t>
    </r>
    <r>
      <rPr>
        <vertAlign val="superscript"/>
        <sz val="11"/>
        <color theme="1"/>
        <rFont val="Calibri"/>
        <family val="2"/>
        <scheme val="minor"/>
      </rPr>
      <t>2</t>
    </r>
    <r>
      <rPr>
        <sz val="11"/>
        <color theme="1"/>
        <rFont val="Calibri"/>
        <family val="2"/>
        <scheme val="minor"/>
      </rPr>
      <t>]</t>
    </r>
  </si>
  <si>
    <t>L* influenza           [m]</t>
  </si>
  <si>
    <t>COMBINAZIONE FONDAMENTALE SLU</t>
  </si>
  <si>
    <t>COMBINAZIONE QUASI PERMANENTE SLE</t>
  </si>
  <si>
    <t>Dimensionamento Pilastro più sollecitato</t>
  </si>
  <si>
    <t>Analisi dei carichi del Pilastro meno sollecitato</t>
  </si>
  <si>
    <t>Analisi dei carichi del Pilastro più sollecitato</t>
  </si>
  <si>
    <t>Tr                            [anni]</t>
  </si>
  <si>
    <r>
      <t>F</t>
    </r>
    <r>
      <rPr>
        <vertAlign val="subscript"/>
        <sz val="11"/>
        <color theme="1"/>
        <rFont val="Calibri"/>
        <family val="2"/>
        <scheme val="minor"/>
      </rPr>
      <t>0</t>
    </r>
  </si>
  <si>
    <t>ag                            [g]</t>
  </si>
  <si>
    <t>Tc*                 [s]</t>
  </si>
  <si>
    <t>Geometria Trave Emerg.</t>
  </si>
  <si>
    <t>Geometria Trave Spess.</t>
  </si>
  <si>
    <t>x</t>
  </si>
  <si>
    <t>18-21</t>
  </si>
  <si>
    <t>9-10</t>
  </si>
  <si>
    <t>Campata 10-11</t>
  </si>
  <si>
    <t>Campata 1-2</t>
  </si>
  <si>
    <t>Campata 4-5</t>
  </si>
  <si>
    <t>Lunghezza sbalzo                             [m]</t>
  </si>
  <si>
    <t>Momento per carichi verticali in assenza di sisma</t>
  </si>
  <si>
    <t>h*               [m]</t>
  </si>
  <si>
    <t>Mmax              [kN m]</t>
  </si>
  <si>
    <t>Nmin                [kN]</t>
  </si>
  <si>
    <t xml:space="preserve">GEOMETRIA </t>
  </si>
  <si>
    <t xml:space="preserve"> Materiali </t>
  </si>
  <si>
    <t>cls</t>
  </si>
  <si>
    <t>Acciaio</t>
  </si>
  <si>
    <t>Armature</t>
  </si>
  <si>
    <t>n° sup</t>
  </si>
  <si>
    <t>n° inf</t>
  </si>
  <si>
    <r>
      <t xml:space="preserve">b                </t>
    </r>
    <r>
      <rPr>
        <sz val="12"/>
        <color theme="1"/>
        <rFont val="GreekC"/>
      </rPr>
      <t>[</t>
    </r>
    <r>
      <rPr>
        <sz val="12"/>
        <color theme="1"/>
        <rFont val="Calibri"/>
        <family val="2"/>
      </rPr>
      <t>cm</t>
    </r>
    <r>
      <rPr>
        <sz val="12"/>
        <color theme="1"/>
        <rFont val="GreekC"/>
      </rPr>
      <t>]</t>
    </r>
  </si>
  <si>
    <r>
      <t xml:space="preserve">h                 </t>
    </r>
    <r>
      <rPr>
        <sz val="12"/>
        <color theme="1"/>
        <rFont val="GreekC"/>
      </rPr>
      <t>[</t>
    </r>
    <r>
      <rPr>
        <sz val="12"/>
        <color theme="1"/>
        <rFont val="Calibri"/>
        <family val="2"/>
      </rPr>
      <t>cm</t>
    </r>
    <r>
      <rPr>
        <sz val="12"/>
        <color theme="1"/>
        <rFont val="GreekC"/>
      </rPr>
      <t>]</t>
    </r>
  </si>
  <si>
    <r>
      <t xml:space="preserve">c               </t>
    </r>
    <r>
      <rPr>
        <sz val="12"/>
        <color theme="1"/>
        <rFont val="GreekC"/>
      </rPr>
      <t>[</t>
    </r>
    <r>
      <rPr>
        <sz val="12"/>
        <color theme="1"/>
        <rFont val="Calibri"/>
        <family val="2"/>
      </rPr>
      <t>cm</t>
    </r>
    <r>
      <rPr>
        <sz val="12"/>
        <color theme="1"/>
        <rFont val="GreekC"/>
      </rPr>
      <t>]</t>
    </r>
  </si>
  <si>
    <r>
      <rPr>
        <sz val="12"/>
        <color theme="1"/>
        <rFont val="GreekC"/>
      </rPr>
      <t>γ</t>
    </r>
    <r>
      <rPr>
        <vertAlign val="subscript"/>
        <sz val="12"/>
        <color theme="1"/>
        <rFont val="Calibri"/>
        <family val="2"/>
      </rPr>
      <t>c</t>
    </r>
  </si>
  <si>
    <r>
      <rPr>
        <sz val="12"/>
        <color theme="1"/>
        <rFont val="GreekC"/>
      </rPr>
      <t>γ</t>
    </r>
    <r>
      <rPr>
        <vertAlign val="subscript"/>
        <sz val="12"/>
        <color theme="1"/>
        <rFont val="Calibri Light"/>
        <family val="1"/>
        <scheme val="major"/>
      </rPr>
      <t>s</t>
    </r>
  </si>
  <si>
    <r>
      <rPr>
        <sz val="12"/>
        <color theme="1"/>
        <rFont val="GreekC"/>
      </rPr>
      <t>F</t>
    </r>
    <r>
      <rPr>
        <i/>
        <sz val="12"/>
        <color theme="1"/>
        <rFont val="Calibri"/>
        <family val="2"/>
      </rPr>
      <t>sup</t>
    </r>
  </si>
  <si>
    <r>
      <rPr>
        <sz val="12"/>
        <color theme="1"/>
        <rFont val="GreekC"/>
      </rPr>
      <t>F</t>
    </r>
    <r>
      <rPr>
        <i/>
        <sz val="12"/>
        <color theme="1"/>
        <rFont val="Calibri"/>
        <family val="2"/>
      </rPr>
      <t>inf</t>
    </r>
  </si>
  <si>
    <t>B450C</t>
  </si>
  <si>
    <t>Diametro</t>
  </si>
  <si>
    <t>Numero</t>
  </si>
  <si>
    <t>Mrd          [kN m]</t>
  </si>
  <si>
    <t>Resistenze</t>
  </si>
  <si>
    <t>ripartire il taglio tra gli n° pilastri che contano nella direzione con numero minore</t>
  </si>
  <si>
    <t>Approccio globale semplificato al piano tipo</t>
  </si>
  <si>
    <t>b</t>
  </si>
  <si>
    <t>h</t>
  </si>
  <si>
    <t>trave emergente</t>
  </si>
  <si>
    <t>c</t>
  </si>
  <si>
    <t>Pilastri</t>
  </si>
  <si>
    <t>Travi</t>
  </si>
  <si>
    <t>Ecm [N/mm2]</t>
  </si>
  <si>
    <t>Ecm               [kN/m2]</t>
  </si>
  <si>
    <r>
      <t>Ecm ∑Ip/Lp</t>
    </r>
    <r>
      <rPr>
        <vertAlign val="superscript"/>
        <sz val="12"/>
        <color theme="1"/>
        <rFont val="Calibri"/>
        <family val="2"/>
        <scheme val="minor"/>
      </rPr>
      <t>3</t>
    </r>
  </si>
  <si>
    <t>Ecm ∑Ip/Lp</t>
  </si>
  <si>
    <r>
      <t xml:space="preserve">Lp                 </t>
    </r>
    <r>
      <rPr>
        <sz val="12"/>
        <color theme="1"/>
        <rFont val="GreekC"/>
      </rPr>
      <t>[</t>
    </r>
    <r>
      <rPr>
        <sz val="12"/>
        <color theme="1"/>
        <rFont val="Calibri"/>
        <family val="2"/>
      </rPr>
      <t>m</t>
    </r>
    <r>
      <rPr>
        <sz val="12"/>
        <color theme="1"/>
        <rFont val="GreekC"/>
      </rPr>
      <t>]</t>
    </r>
  </si>
  <si>
    <r>
      <t xml:space="preserve">b                </t>
    </r>
    <r>
      <rPr>
        <sz val="12"/>
        <color theme="1"/>
        <rFont val="GreekC"/>
      </rPr>
      <t>[</t>
    </r>
    <r>
      <rPr>
        <sz val="12"/>
        <color theme="1"/>
        <rFont val="Calibri"/>
        <family val="2"/>
      </rPr>
      <t>m</t>
    </r>
    <r>
      <rPr>
        <sz val="12"/>
        <color theme="1"/>
        <rFont val="GreekC"/>
      </rPr>
      <t>]</t>
    </r>
  </si>
  <si>
    <r>
      <t xml:space="preserve">h                 </t>
    </r>
    <r>
      <rPr>
        <sz val="12"/>
        <color theme="1"/>
        <rFont val="GreekC"/>
      </rPr>
      <t>[</t>
    </r>
    <r>
      <rPr>
        <sz val="12"/>
        <color theme="1"/>
        <rFont val="Calibri"/>
        <family val="2"/>
      </rPr>
      <t>m</t>
    </r>
    <r>
      <rPr>
        <sz val="12"/>
        <color theme="1"/>
        <rFont val="GreekC"/>
      </rPr>
      <t>]</t>
    </r>
  </si>
  <si>
    <r>
      <t xml:space="preserve">Ip                 </t>
    </r>
    <r>
      <rPr>
        <sz val="12"/>
        <color theme="1"/>
        <rFont val="GreekC"/>
      </rPr>
      <t>[</t>
    </r>
    <r>
      <rPr>
        <sz val="12"/>
        <color theme="1"/>
        <rFont val="Calibri"/>
        <family val="2"/>
      </rPr>
      <t>m4</t>
    </r>
    <r>
      <rPr>
        <sz val="12"/>
        <color theme="1"/>
        <rFont val="GreekC"/>
      </rPr>
      <t>]</t>
    </r>
  </si>
  <si>
    <t xml:space="preserve">Pilastro </t>
  </si>
  <si>
    <t xml:space="preserve">Trave Emergente </t>
  </si>
  <si>
    <t>sup. Ecm ∑It/Lt</t>
  </si>
  <si>
    <t>inf. Ecm ∑It/Lt</t>
  </si>
  <si>
    <t>Nrd          [kN]</t>
  </si>
  <si>
    <t>kx              [kN/mm]</t>
  </si>
  <si>
    <t>ripartire il taglio tra gli n° pilastri che contano nella direzione y</t>
  </si>
  <si>
    <t>ky              [kN/mm]</t>
  </si>
  <si>
    <t xml:space="preserve"> 10-11</t>
  </si>
  <si>
    <t xml:space="preserve">Campata </t>
  </si>
  <si>
    <t>10-11</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</si>
  <si>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</si>
  <si>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</si>
  <si>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[kN/m</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</si>
  <si>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[kN/m</t>
    </r>
    <r>
      <rPr>
        <sz val="11"/>
        <color theme="1"/>
        <rFont val="Calibri"/>
        <family val="2"/>
        <scheme val="minor"/>
      </rPr>
      <t>]</t>
    </r>
  </si>
  <si>
    <t>FOND.</t>
  </si>
  <si>
    <t>QUAS. PERM.</t>
  </si>
  <si>
    <t>Trave 10-11</t>
  </si>
  <si>
    <r>
      <t>G2</t>
    </r>
    <r>
      <rPr>
        <vertAlign val="subscript"/>
        <sz val="11"/>
        <color theme="1"/>
        <rFont val="Calibri"/>
        <family val="2"/>
        <scheme val="minor"/>
      </rPr>
      <t xml:space="preserve">d </t>
    </r>
    <r>
      <rPr>
        <sz val="11"/>
        <color theme="1"/>
        <rFont val="Calibri"/>
        <family val="2"/>
        <scheme val="minor"/>
      </rPr>
      <t xml:space="preserve">                  [kN]</t>
    </r>
  </si>
  <si>
    <r>
      <t>G1</t>
    </r>
    <r>
      <rPr>
        <vertAlign val="subscript"/>
        <sz val="11"/>
        <color theme="1"/>
        <rFont val="Calibri"/>
        <family val="2"/>
        <scheme val="minor"/>
      </rPr>
      <t>d</t>
    </r>
    <r>
      <rPr>
        <sz val="11"/>
        <color theme="1"/>
        <rFont val="Calibri"/>
        <family val="2"/>
        <scheme val="minor"/>
      </rPr>
      <t xml:space="preserve">                 [kN]</t>
    </r>
  </si>
  <si>
    <t>Qk1          [kN]</t>
  </si>
  <si>
    <t>G2k     [kN]</t>
  </si>
  <si>
    <t>G1k             [kN]</t>
  </si>
  <si>
    <t>G1k                 [kN/m]</t>
  </si>
  <si>
    <t>G2k                   [kN/m]</t>
  </si>
  <si>
    <t>Qk1                   [kN/m]</t>
  </si>
  <si>
    <r>
      <t>G1</t>
    </r>
    <r>
      <rPr>
        <vertAlign val="subscript"/>
        <sz val="11"/>
        <color theme="1"/>
        <rFont val="Calibri"/>
        <family val="2"/>
        <scheme val="minor"/>
      </rPr>
      <t>d</t>
    </r>
    <r>
      <rPr>
        <sz val="11"/>
        <color theme="1"/>
        <rFont val="Calibri"/>
        <family val="2"/>
        <scheme val="minor"/>
      </rPr>
      <t xml:space="preserve">                 [kN/m]</t>
    </r>
  </si>
  <si>
    <r>
      <t>G2</t>
    </r>
    <r>
      <rPr>
        <vertAlign val="subscript"/>
        <sz val="11"/>
        <color theme="1"/>
        <rFont val="Calibri"/>
        <family val="2"/>
        <scheme val="minor"/>
      </rPr>
      <t xml:space="preserve">d </t>
    </r>
    <r>
      <rPr>
        <sz val="11"/>
        <color theme="1"/>
        <rFont val="Calibri"/>
        <family val="2"/>
        <scheme val="minor"/>
      </rPr>
      <t xml:space="preserve">                  [kN/m]</t>
    </r>
  </si>
  <si>
    <r>
      <t>Qk</t>
    </r>
    <r>
      <rPr>
        <vertAlign val="subscript"/>
        <sz val="11"/>
        <color theme="1"/>
        <rFont val="Calibri"/>
        <family val="2"/>
        <scheme val="minor"/>
      </rPr>
      <t xml:space="preserve">d </t>
    </r>
    <r>
      <rPr>
        <sz val="11"/>
        <color theme="1"/>
        <rFont val="Calibri"/>
        <family val="2"/>
        <scheme val="minor"/>
      </rPr>
      <t xml:space="preserve">                  [kN/m]</t>
    </r>
  </si>
  <si>
    <t>G2k                  [kN/m]</t>
  </si>
  <si>
    <r>
      <t>Qk1</t>
    </r>
    <r>
      <rPr>
        <vertAlign val="subscript"/>
        <sz val="11"/>
        <color theme="1"/>
        <rFont val="Calibri"/>
        <family val="2"/>
        <scheme val="minor"/>
      </rPr>
      <t xml:space="preserve">d </t>
    </r>
    <r>
      <rPr>
        <sz val="11"/>
        <color theme="1"/>
        <rFont val="Calibri"/>
        <family val="2"/>
        <scheme val="minor"/>
      </rPr>
      <t xml:space="preserve">                  [kN/m]</t>
    </r>
  </si>
  <si>
    <r>
      <t>G1k                 [kN/m</t>
    </r>
    <r>
      <rPr>
        <vertAlign val="superscript"/>
        <sz val="11"/>
        <color theme="1"/>
        <rFont val="Calibri"/>
        <family val="2"/>
        <scheme val="minor"/>
      </rPr>
      <t>2</t>
    </r>
    <r>
      <rPr>
        <sz val="11"/>
        <color theme="1"/>
        <rFont val="Calibri"/>
        <family val="2"/>
        <scheme val="minor"/>
      </rPr>
      <t>]</t>
    </r>
  </si>
  <si>
    <r>
      <t>G2k                  [kN/m</t>
    </r>
    <r>
      <rPr>
        <vertAlign val="superscript"/>
        <sz val="11"/>
        <color theme="1"/>
        <rFont val="Calibri"/>
        <family val="2"/>
        <scheme val="minor"/>
      </rPr>
      <t>2</t>
    </r>
    <r>
      <rPr>
        <sz val="11"/>
        <color theme="1"/>
        <rFont val="Calibri"/>
        <family val="2"/>
        <scheme val="minor"/>
      </rPr>
      <t>]</t>
    </r>
  </si>
  <si>
    <r>
      <t>Qk1                   [kN/m</t>
    </r>
    <r>
      <rPr>
        <vertAlign val="superscript"/>
        <sz val="11"/>
        <color theme="1"/>
        <rFont val="Calibri"/>
        <family val="2"/>
        <scheme val="minor"/>
      </rPr>
      <t>2</t>
    </r>
    <r>
      <rPr>
        <sz val="11"/>
        <color theme="1"/>
        <rFont val="Calibri"/>
        <family val="2"/>
        <scheme val="minor"/>
      </rPr>
      <t>]</t>
    </r>
  </si>
  <si>
    <r>
      <t>G1</t>
    </r>
    <r>
      <rPr>
        <vertAlign val="subscript"/>
        <sz val="11"/>
        <color theme="1"/>
        <rFont val="Calibri"/>
        <family val="2"/>
        <scheme val="minor"/>
      </rPr>
      <t>d</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</si>
  <si>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G2</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</si>
  <si>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Qk1</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</si>
  <si>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t>Qd1                   [KN]</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</si>
  <si>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</si>
  <si>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t>
    </r>
    <r>
      <rPr>
        <sz val="11"/>
        <color theme="1"/>
        <rFont val="Calibri"/>
        <family val="2"/>
        <scheme val="minor"/>
      </rPr>
      <t>]</t>
    </r>
  </si>
  <si>
    <t xml:space="preserve">Trave </t>
  </si>
  <si>
    <t>10 11</t>
  </si>
  <si>
    <t>Qk1                   [kN]</t>
  </si>
  <si>
    <t>G2k    sbalzo        [kN]</t>
  </si>
  <si>
    <t>G1k    sbalzo         [kN]</t>
  </si>
  <si>
    <t>G2k    solaio         [kN]</t>
  </si>
  <si>
    <t>G1k    solaio         [kN]</t>
  </si>
  <si>
    <t>G1k    trave          [kN]</t>
  </si>
  <si>
    <t>G1k    pilastro         [kN]</t>
  </si>
  <si>
    <t>G1ktot                [kN/m]</t>
  </si>
  <si>
    <t>G1k                [kN/m2]</t>
  </si>
  <si>
    <t>G1k             [kN/m]</t>
  </si>
  <si>
    <r>
      <t xml:space="preserve">g                         </t>
    </r>
    <r>
      <rPr>
        <sz val="11"/>
        <color theme="1"/>
        <rFont val="Calibri"/>
        <family val="2"/>
        <scheme val="minor"/>
      </rPr>
      <t>[kN/m</t>
    </r>
    <r>
      <rPr>
        <vertAlign val="superscript"/>
        <sz val="11"/>
        <color theme="1"/>
        <rFont val="Calibri"/>
        <family val="2"/>
        <scheme val="minor"/>
      </rPr>
      <t>3</t>
    </r>
    <r>
      <rPr>
        <sz val="11"/>
        <color theme="1"/>
        <rFont val="Calibri"/>
        <family val="2"/>
        <scheme val="minor"/>
      </rPr>
      <t>]</t>
    </r>
  </si>
  <si>
    <t>G1k                [kN/m]</t>
  </si>
  <si>
    <t>Qd1                   [kN]</t>
  </si>
  <si>
    <r>
      <t xml:space="preserve">∑        </t>
    </r>
    <r>
      <rPr>
        <sz val="11"/>
        <color theme="1"/>
        <rFont val="Calibri"/>
        <family val="2"/>
        <scheme val="minor"/>
      </rPr>
      <t xml:space="preserve"> [kN]</t>
    </r>
  </si>
  <si>
    <t>G1k                 [kN]</t>
  </si>
  <si>
    <t>G2k                   [kN]</t>
  </si>
  <si>
    <r>
      <t>G1k    solaio         [kN/m</t>
    </r>
    <r>
      <rPr>
        <vertAlign val="superscript"/>
        <sz val="11"/>
        <color theme="1"/>
        <rFont val="Calibri"/>
        <family val="2"/>
        <scheme val="minor"/>
      </rPr>
      <t>2</t>
    </r>
    <r>
      <rPr>
        <sz val="11"/>
        <color theme="1"/>
        <rFont val="Calibri"/>
        <family val="2"/>
        <scheme val="minor"/>
      </rPr>
      <t>]</t>
    </r>
  </si>
  <si>
    <r>
      <t>G2k    solaio         [kN/m</t>
    </r>
    <r>
      <rPr>
        <vertAlign val="superscript"/>
        <sz val="11"/>
        <color theme="1"/>
        <rFont val="Calibri"/>
        <family val="2"/>
        <scheme val="minor"/>
      </rPr>
      <t>2</t>
    </r>
    <r>
      <rPr>
        <sz val="11"/>
        <color theme="1"/>
        <rFont val="Calibri"/>
        <family val="2"/>
        <scheme val="minor"/>
      </rPr>
      <t>]</t>
    </r>
  </si>
  <si>
    <r>
      <t>Qk1          solaio         [kN/m</t>
    </r>
    <r>
      <rPr>
        <vertAlign val="superscript"/>
        <sz val="11"/>
        <color theme="1"/>
        <rFont val="Calibri"/>
        <family val="2"/>
        <scheme val="minor"/>
      </rPr>
      <t>2</t>
    </r>
    <r>
      <rPr>
        <sz val="11"/>
        <color theme="1"/>
        <rFont val="Calibri"/>
        <family val="2"/>
        <scheme val="minor"/>
      </rPr>
      <t>]</t>
    </r>
  </si>
  <si>
    <t>G1k    trave         [kN/m]</t>
  </si>
  <si>
    <r>
      <t>G1k    sbalzo         [kN/m</t>
    </r>
    <r>
      <rPr>
        <vertAlign val="superscript"/>
        <sz val="11"/>
        <color theme="1"/>
        <rFont val="Calibri"/>
        <family val="2"/>
        <scheme val="minor"/>
      </rPr>
      <t>2</t>
    </r>
    <r>
      <rPr>
        <sz val="11"/>
        <color theme="1"/>
        <rFont val="Calibri"/>
        <family val="2"/>
        <scheme val="minor"/>
      </rPr>
      <t>]</t>
    </r>
  </si>
  <si>
    <r>
      <t>G2k    sbalzo         [kN/m</t>
    </r>
    <r>
      <rPr>
        <vertAlign val="superscript"/>
        <sz val="11"/>
        <color theme="1"/>
        <rFont val="Calibri"/>
        <family val="2"/>
        <scheme val="minor"/>
      </rPr>
      <t>2</t>
    </r>
    <r>
      <rPr>
        <sz val="11"/>
        <color theme="1"/>
        <rFont val="Calibri"/>
        <family val="2"/>
        <scheme val="minor"/>
      </rPr>
      <t>]</t>
    </r>
  </si>
  <si>
    <r>
      <t>Qk1  sbalzo                 [kN/m</t>
    </r>
    <r>
      <rPr>
        <vertAlign val="superscript"/>
        <sz val="11"/>
        <color theme="1"/>
        <rFont val="Calibri"/>
        <family val="2"/>
        <scheme val="minor"/>
      </rPr>
      <t>2</t>
    </r>
    <r>
      <rPr>
        <sz val="11"/>
        <color theme="1"/>
        <rFont val="Calibri"/>
        <family val="2"/>
        <scheme val="minor"/>
      </rPr>
      <t>]</t>
    </r>
  </si>
  <si>
    <t>Qk2                   [kN/m]</t>
  </si>
  <si>
    <r>
      <t>Carico               [kN/m</t>
    </r>
    <r>
      <rPr>
        <vertAlign val="superscript"/>
        <sz val="11"/>
        <color theme="1"/>
        <rFont val="Calibri"/>
        <family val="2"/>
        <scheme val="minor"/>
      </rPr>
      <t>2</t>
    </r>
    <r>
      <rPr>
        <sz val="11"/>
        <color theme="1"/>
        <rFont val="Calibri"/>
        <family val="2"/>
        <scheme val="minor"/>
      </rPr>
      <t>]</t>
    </r>
  </si>
  <si>
    <t>Peso netto trave emerg.</t>
  </si>
  <si>
    <t>Peso trave Emerg.</t>
  </si>
  <si>
    <t>Peso netto trave Emerg.</t>
  </si>
  <si>
    <t>Peso trave Spess.</t>
  </si>
  <si>
    <t>Peso netto trave Spess.</t>
  </si>
  <si>
    <t>Peso netto trave  Emerg.</t>
  </si>
  <si>
    <t>Qk2                   [kN]</t>
  </si>
  <si>
    <t>L* influenza sbalzo        [m]</t>
  </si>
  <si>
    <r>
      <t>Area di influenza sbalzo      [m</t>
    </r>
    <r>
      <rPr>
        <vertAlign val="superscript"/>
        <sz val="11"/>
        <color theme="1"/>
        <rFont val="Calibri"/>
        <family val="2"/>
        <scheme val="minor"/>
      </rPr>
      <t>2</t>
    </r>
    <r>
      <rPr>
        <sz val="11"/>
        <color theme="1"/>
        <rFont val="Calibri"/>
        <family val="2"/>
        <scheme val="minor"/>
      </rPr>
      <t>]</t>
    </r>
  </si>
  <si>
    <t>Qd2                   [kN]</t>
  </si>
  <si>
    <r>
      <t>Area di influenza solaio       [m</t>
    </r>
    <r>
      <rPr>
        <vertAlign val="superscript"/>
        <sz val="11"/>
        <color theme="1"/>
        <rFont val="Calibri"/>
        <family val="2"/>
        <scheme val="minor"/>
      </rPr>
      <t>2</t>
    </r>
    <r>
      <rPr>
        <sz val="11"/>
        <color theme="1"/>
        <rFont val="Calibri"/>
        <family val="2"/>
        <scheme val="minor"/>
      </rPr>
      <t>]</t>
    </r>
  </si>
  <si>
    <t>L* influenza spess.        [m]</t>
  </si>
  <si>
    <t>Trave 1-2</t>
  </si>
  <si>
    <t>Trave 4-5</t>
  </si>
  <si>
    <t>Trave 9-10</t>
  </si>
  <si>
    <t>Trave 18-21</t>
  </si>
  <si>
    <t>G1k           [kN]</t>
  </si>
  <si>
    <t>G2k             [kN]</t>
  </si>
  <si>
    <t>G1k    trave         [kN]</t>
  </si>
  <si>
    <t>Qk1 solaio                   [kN]</t>
  </si>
  <si>
    <r>
      <t>ΔN</t>
    </r>
    <r>
      <rPr>
        <vertAlign val="subscript"/>
        <sz val="11"/>
        <color theme="1"/>
        <rFont val="Calibri"/>
        <family val="2"/>
      </rPr>
      <t>pilastro</t>
    </r>
    <r>
      <rPr>
        <sz val="11"/>
        <color theme="1"/>
        <rFont val="Calibri"/>
        <family val="2"/>
      </rPr>
      <t xml:space="preserve">   +20%     [kN]</t>
    </r>
  </si>
  <si>
    <t>n° 11 pilastro più soll.     [kN]</t>
  </si>
  <si>
    <t>n° 1 pilastro  meno soll.     [kN]</t>
  </si>
  <si>
    <t>n° 26 pilastro  meno soll.     [kN]</t>
  </si>
  <si>
    <t xml:space="preserve">Sollecitazione per azione sismica </t>
  </si>
  <si>
    <t>Pilastro 11</t>
  </si>
  <si>
    <t>Pilastro 1</t>
  </si>
  <si>
    <t>n° 13 pilastro meno soll.     [kN]</t>
  </si>
  <si>
    <t>Pilastro 26</t>
  </si>
  <si>
    <t xml:space="preserve">Sollecitazioni </t>
  </si>
  <si>
    <t>Nmin               [kN]</t>
  </si>
  <si>
    <t>Nmax                [kN]</t>
  </si>
  <si>
    <t>Sezione</t>
  </si>
  <si>
    <t>Direzione</t>
  </si>
  <si>
    <t>n° Pilastro</t>
  </si>
  <si>
    <t>K</t>
  </si>
  <si>
    <t>Piano Tipo</t>
  </si>
  <si>
    <t>y</t>
  </si>
  <si>
    <t>30x80</t>
  </si>
  <si>
    <t>80x30</t>
  </si>
  <si>
    <t>Tipo Travi</t>
  </si>
  <si>
    <t>n° Travi</t>
  </si>
  <si>
    <t>E</t>
  </si>
  <si>
    <t>1-1</t>
  </si>
  <si>
    <t>E-S</t>
  </si>
  <si>
    <t>Piano Tipo direzione x</t>
  </si>
  <si>
    <t>S-E</t>
  </si>
  <si>
    <t>S</t>
  </si>
  <si>
    <t>sbalzo-1</t>
  </si>
  <si>
    <t>E-E</t>
  </si>
  <si>
    <t>Lunghezza Trave sx [m]</t>
  </si>
  <si>
    <t>Lunghezza Trave dx [m]</t>
  </si>
  <si>
    <t>Tipologie</t>
  </si>
  <si>
    <t>A</t>
  </si>
  <si>
    <t>C</t>
  </si>
  <si>
    <t>D</t>
  </si>
  <si>
    <t>G</t>
  </si>
  <si>
    <t>H</t>
  </si>
  <si>
    <t>I</t>
  </si>
  <si>
    <t>J</t>
  </si>
  <si>
    <t>L</t>
  </si>
  <si>
    <t>M</t>
  </si>
  <si>
    <t>N</t>
  </si>
  <si>
    <t>Lunghezza media sx</t>
  </si>
  <si>
    <t>Lunghezza media dx</t>
  </si>
  <si>
    <t>6° Impalcato</t>
  </si>
  <si>
    <t>Piano Incastrato</t>
  </si>
  <si>
    <t>K         [kN/mm]</t>
  </si>
  <si>
    <t>n° Tipologia</t>
  </si>
  <si>
    <t>30x70</t>
  </si>
  <si>
    <t xml:space="preserve">Approccio per tipologia di pilastro </t>
  </si>
  <si>
    <t>1-sbalzo</t>
  </si>
  <si>
    <t>O</t>
  </si>
  <si>
    <t>P</t>
  </si>
  <si>
    <t>Q</t>
  </si>
  <si>
    <t>R</t>
  </si>
  <si>
    <t>80X30</t>
  </si>
  <si>
    <t>30X70</t>
  </si>
  <si>
    <t>70X30</t>
  </si>
  <si>
    <r>
      <t xml:space="preserve">Lt                 </t>
    </r>
    <r>
      <rPr>
        <sz val="12"/>
        <color theme="1"/>
        <rFont val="GreekC"/>
      </rPr>
      <t>[</t>
    </r>
    <r>
      <rPr>
        <sz val="12"/>
        <color theme="1"/>
        <rFont val="Calibri"/>
        <family val="2"/>
      </rPr>
      <t>m</t>
    </r>
    <r>
      <rPr>
        <sz val="12"/>
        <color theme="1"/>
        <rFont val="GreekC"/>
      </rPr>
      <t>]</t>
    </r>
  </si>
  <si>
    <r>
      <t xml:space="preserve">It                 </t>
    </r>
    <r>
      <rPr>
        <sz val="12"/>
        <color theme="1"/>
        <rFont val="GreekC"/>
      </rPr>
      <t>[</t>
    </r>
    <r>
      <rPr>
        <sz val="12"/>
        <color theme="1"/>
        <rFont val="Calibri"/>
        <family val="2"/>
      </rPr>
      <t>m4</t>
    </r>
    <r>
      <rPr>
        <sz val="12"/>
        <color theme="1"/>
        <rFont val="GreekC"/>
      </rPr>
      <t>]</t>
    </r>
  </si>
  <si>
    <t>travi emergenti y</t>
  </si>
  <si>
    <t>travi emergenti x</t>
  </si>
  <si>
    <t>70x30</t>
  </si>
  <si>
    <t>Approccio 1 direzione x</t>
  </si>
  <si>
    <t>Incastrato</t>
  </si>
  <si>
    <t>dr              [mm]</t>
  </si>
  <si>
    <t>F             [kN]</t>
  </si>
  <si>
    <t>u                [mm]</t>
  </si>
  <si>
    <t>T            [sec]</t>
  </si>
  <si>
    <t>F u                [kN mm]</t>
  </si>
  <si>
    <r>
      <t>m u</t>
    </r>
    <r>
      <rPr>
        <vertAlign val="superscript"/>
        <sz val="11"/>
        <color theme="1"/>
        <rFont val="Calibri"/>
        <family val="2"/>
        <scheme val="minor"/>
      </rPr>
      <t>2</t>
    </r>
    <r>
      <rPr>
        <sz val="11"/>
        <color theme="1"/>
        <rFont val="Calibri"/>
        <family val="2"/>
        <scheme val="minor"/>
      </rPr>
      <t xml:space="preserve">        [tonn mm</t>
    </r>
    <r>
      <rPr>
        <vertAlign val="superscript"/>
        <sz val="11"/>
        <color theme="1"/>
        <rFont val="Calibri"/>
        <family val="2"/>
        <scheme val="minor"/>
      </rPr>
      <t>2</t>
    </r>
    <r>
      <rPr>
        <sz val="11"/>
        <color theme="1"/>
        <rFont val="Calibri"/>
        <family val="2"/>
        <scheme val="minor"/>
      </rPr>
      <t>]</t>
    </r>
  </si>
  <si>
    <r>
      <t>m            [kN/mm/s</t>
    </r>
    <r>
      <rPr>
        <vertAlign val="superscript"/>
        <sz val="11"/>
        <color theme="1"/>
        <rFont val="Calibri"/>
        <family val="2"/>
        <scheme val="minor"/>
      </rPr>
      <t>2</t>
    </r>
    <r>
      <rPr>
        <sz val="11"/>
        <color theme="1"/>
        <rFont val="Calibri"/>
        <family val="2"/>
        <scheme val="minor"/>
      </rPr>
      <t>]</t>
    </r>
  </si>
  <si>
    <t>Approccio 1 direzione y</t>
  </si>
  <si>
    <t>ripartire il taglio tra gli n° pilastri che contano nella direzione x</t>
  </si>
  <si>
    <t>Approccio 2 direzione x</t>
  </si>
  <si>
    <t>Approccio 2 direzione y</t>
  </si>
  <si>
    <t>Approccio 2</t>
  </si>
  <si>
    <t>Pilastri equivalenti x</t>
  </si>
  <si>
    <t>Pilastri equivalenti y</t>
  </si>
  <si>
    <t>kx pilastro più rigido</t>
  </si>
  <si>
    <t>ky pilastro più rigido</t>
  </si>
  <si>
    <t>kx totale</t>
  </si>
  <si>
    <t>ky totale</t>
  </si>
  <si>
    <t>b*         [m]</t>
  </si>
  <si>
    <t>60x30</t>
  </si>
  <si>
    <t>30x60</t>
  </si>
  <si>
    <t>30x70 30x70</t>
  </si>
  <si>
    <t>30x60 30x70</t>
  </si>
  <si>
    <t xml:space="preserve">Torrino </t>
  </si>
  <si>
    <r>
      <t>∑k</t>
    </r>
    <r>
      <rPr>
        <vertAlign val="subscript"/>
        <sz val="11"/>
        <color theme="1"/>
        <rFont val="Calibri"/>
        <family val="2"/>
      </rPr>
      <t>x</t>
    </r>
  </si>
  <si>
    <r>
      <t>∑k</t>
    </r>
    <r>
      <rPr>
        <vertAlign val="subscript"/>
        <sz val="11"/>
        <color theme="1"/>
        <rFont val="Calibri"/>
        <family val="2"/>
      </rPr>
      <t>y</t>
    </r>
  </si>
  <si>
    <r>
      <t>∑k</t>
    </r>
    <r>
      <rPr>
        <vertAlign val="subscript"/>
        <sz val="11"/>
        <color theme="1"/>
        <rFont val="Calibri"/>
        <family val="2"/>
      </rPr>
      <t xml:space="preserve">x </t>
    </r>
    <r>
      <rPr>
        <sz val="11"/>
        <color theme="1"/>
        <rFont val="Calibri"/>
        <family val="2"/>
      </rPr>
      <t>y</t>
    </r>
  </si>
  <si>
    <r>
      <t>∑k</t>
    </r>
    <r>
      <rPr>
        <vertAlign val="subscript"/>
        <sz val="11"/>
        <color theme="1"/>
        <rFont val="Calibri"/>
        <family val="2"/>
      </rPr>
      <t xml:space="preserve">y </t>
    </r>
    <r>
      <rPr>
        <sz val="11"/>
        <color theme="1"/>
        <rFont val="Calibri"/>
        <family val="2"/>
      </rPr>
      <t>x</t>
    </r>
  </si>
  <si>
    <r>
      <t>∑k</t>
    </r>
    <r>
      <rPr>
        <vertAlign val="subscript"/>
        <sz val="11"/>
        <color theme="1"/>
        <rFont val="Calibri"/>
        <family val="2"/>
      </rPr>
      <t xml:space="preserve">x </t>
    </r>
    <r>
      <rPr>
        <sz val="11"/>
        <color theme="1"/>
        <rFont val="Calibri"/>
        <family val="2"/>
      </rPr>
      <t>y</t>
    </r>
    <r>
      <rPr>
        <vertAlign val="superscript"/>
        <sz val="11"/>
        <color theme="1"/>
        <rFont val="Calibri"/>
        <family val="2"/>
      </rPr>
      <t>2</t>
    </r>
  </si>
  <si>
    <r>
      <t>∑k</t>
    </r>
    <r>
      <rPr>
        <vertAlign val="subscript"/>
        <sz val="11"/>
        <color theme="1"/>
        <rFont val="Calibri"/>
        <family val="2"/>
      </rPr>
      <t xml:space="preserve">y </t>
    </r>
    <r>
      <rPr>
        <sz val="11"/>
        <color theme="1"/>
        <rFont val="Calibri"/>
        <family val="2"/>
      </rPr>
      <t>x</t>
    </r>
    <r>
      <rPr>
        <vertAlign val="superscript"/>
        <sz val="11"/>
        <color theme="1"/>
        <rFont val="Calibri"/>
        <family val="2"/>
      </rPr>
      <t>2</t>
    </r>
  </si>
  <si>
    <r>
      <t>Gx</t>
    </r>
    <r>
      <rPr>
        <vertAlign val="subscript"/>
        <sz val="11"/>
        <color theme="1"/>
        <rFont val="Calibri"/>
        <family val="2"/>
      </rPr>
      <t>k</t>
    </r>
  </si>
  <si>
    <r>
      <t>Gy</t>
    </r>
    <r>
      <rPr>
        <vertAlign val="subscript"/>
        <sz val="11"/>
        <color theme="1"/>
        <rFont val="Calibri"/>
        <family val="2"/>
      </rPr>
      <t>k</t>
    </r>
  </si>
  <si>
    <r>
      <t>Gy</t>
    </r>
    <r>
      <rPr>
        <vertAlign val="subscript"/>
        <sz val="11"/>
        <color theme="1"/>
        <rFont val="Calibri"/>
        <family val="2"/>
      </rPr>
      <t>m</t>
    </r>
  </si>
  <si>
    <r>
      <t>Gx</t>
    </r>
    <r>
      <rPr>
        <vertAlign val="subscript"/>
        <sz val="11"/>
        <color theme="1"/>
        <rFont val="Calibri"/>
        <family val="2"/>
      </rPr>
      <t>m</t>
    </r>
  </si>
  <si>
    <t>Δx</t>
  </si>
  <si>
    <t>Δy</t>
  </si>
  <si>
    <t>Verifica SLD</t>
  </si>
  <si>
    <t>spettro di risposta elastico SLD</t>
  </si>
  <si>
    <t>spettro di risposta di progetto SLV</t>
  </si>
  <si>
    <t>Fo</t>
  </si>
  <si>
    <t>ag          [g]</t>
  </si>
  <si>
    <t>Sd(T) SLD              [g]</t>
  </si>
  <si>
    <t>Sd(T)SLV             [g]</t>
  </si>
  <si>
    <t>Tc*           [sec]</t>
  </si>
  <si>
    <t>Tr              [anni]</t>
  </si>
  <si>
    <t>dr amm        [mm]</t>
  </si>
  <si>
    <t>dr SLV x                [mm]</t>
  </si>
  <si>
    <t>dr SLV  y      [mm]</t>
  </si>
  <si>
    <t>dr SLD  x      [mm]</t>
  </si>
  <si>
    <t>dr SLD   y     [mm]</t>
  </si>
  <si>
    <t>Trave Emerg. 30x60</t>
  </si>
  <si>
    <t>Trave Spes. 70x22</t>
  </si>
  <si>
    <t>Trave Emerg. 30x70</t>
  </si>
  <si>
    <t>Trave Spes. 70x24</t>
  </si>
  <si>
    <t>Geometria Scala con soletta rampante</t>
  </si>
  <si>
    <t>alzata                     [m]</t>
  </si>
  <si>
    <t>pedata               [m]</t>
  </si>
  <si>
    <t>soletta               [m]</t>
  </si>
  <si>
    <t>Carico Permanente Strutturale scala G1k</t>
  </si>
  <si>
    <t>Carico Permanente non Strutturale G2k (scala)</t>
  </si>
  <si>
    <t>s                            [m]</t>
  </si>
  <si>
    <t>s             [m]</t>
  </si>
  <si>
    <t>Malta pedata</t>
  </si>
  <si>
    <t>Gradini</t>
  </si>
  <si>
    <t>Malta alzata</t>
  </si>
  <si>
    <r>
      <t>α</t>
    </r>
    <r>
      <rPr>
        <vertAlign val="subscript"/>
        <sz val="11"/>
        <color theme="1"/>
        <rFont val="Calibri"/>
        <family val="2"/>
        <scheme val="minor"/>
      </rPr>
      <t>rad</t>
    </r>
    <r>
      <rPr>
        <sz val="11"/>
        <color theme="1"/>
        <rFont val="Calibri"/>
        <family val="2"/>
        <scheme val="minor"/>
      </rPr>
      <t xml:space="preserve">   </t>
    </r>
    <r>
      <rPr>
        <sz val="11"/>
        <color theme="1"/>
        <rFont val="GreekS"/>
      </rPr>
      <t xml:space="preserve">       </t>
    </r>
    <r>
      <rPr>
        <sz val="11"/>
        <color theme="1"/>
        <rFont val="Calibri"/>
        <family val="2"/>
        <scheme val="minor"/>
      </rPr>
      <t xml:space="preserve"> inclin. soletta</t>
    </r>
  </si>
  <si>
    <r>
      <t>α</t>
    </r>
    <r>
      <rPr>
        <sz val="11"/>
        <color theme="1"/>
        <rFont val="Calibri"/>
        <family val="2"/>
        <scheme val="minor"/>
      </rPr>
      <t xml:space="preserve">°   </t>
    </r>
    <r>
      <rPr>
        <sz val="11"/>
        <color theme="1"/>
        <rFont val="GreekS"/>
      </rPr>
      <t xml:space="preserve">       </t>
    </r>
    <r>
      <rPr>
        <sz val="11"/>
        <color theme="1"/>
        <rFont val="Calibri"/>
        <family val="2"/>
        <scheme val="minor"/>
      </rPr>
      <t xml:space="preserve"> inclin. soletta</t>
    </r>
  </si>
  <si>
    <r>
      <t>G2k tamp.  solaio         [kN/m</t>
    </r>
    <r>
      <rPr>
        <sz val="11"/>
        <color theme="1"/>
        <rFont val="Calibri"/>
        <family val="2"/>
        <scheme val="minor"/>
      </rPr>
      <t>]</t>
    </r>
  </si>
  <si>
    <t>Lunghezza influenza                            [m]</t>
  </si>
  <si>
    <t>Lunghezza influenza sbalzo                             [m]</t>
  </si>
  <si>
    <t>G1k    trave                      [kN/m]</t>
  </si>
  <si>
    <r>
      <t>G1                 [KN/m</t>
    </r>
    <r>
      <rPr>
        <vertAlign val="superscript"/>
        <sz val="11"/>
        <color theme="1"/>
        <rFont val="Calibri"/>
        <family val="2"/>
        <scheme val="minor"/>
      </rPr>
      <t>2</t>
    </r>
    <r>
      <rPr>
        <sz val="11"/>
        <color theme="1"/>
        <rFont val="Calibri"/>
        <family val="2"/>
        <scheme val="minor"/>
      </rPr>
      <t>]</t>
    </r>
  </si>
  <si>
    <r>
      <t>G2                   [KN/m</t>
    </r>
    <r>
      <rPr>
        <vertAlign val="superscript"/>
        <sz val="11"/>
        <color theme="1"/>
        <rFont val="Calibri"/>
        <family val="2"/>
        <scheme val="minor"/>
      </rPr>
      <t>2</t>
    </r>
    <r>
      <rPr>
        <sz val="11"/>
        <color theme="1"/>
        <rFont val="Calibri"/>
        <family val="2"/>
        <scheme val="minor"/>
      </rPr>
      <t>]</t>
    </r>
  </si>
  <si>
    <r>
      <t>Qk1                   [KN/m</t>
    </r>
    <r>
      <rPr>
        <vertAlign val="superscript"/>
        <sz val="11"/>
        <color theme="1"/>
        <rFont val="Calibri"/>
        <family val="2"/>
        <scheme val="minor"/>
      </rPr>
      <t>2</t>
    </r>
    <r>
      <rPr>
        <sz val="11"/>
        <color theme="1"/>
        <rFont val="Calibri"/>
        <family val="2"/>
        <scheme val="minor"/>
      </rPr>
      <t>]</t>
    </r>
  </si>
  <si>
    <r>
      <t>G1</t>
    </r>
    <r>
      <rPr>
        <vertAlign val="subscript"/>
        <sz val="11"/>
        <color theme="1"/>
        <rFont val="Calibri"/>
        <family val="2"/>
        <scheme val="minor"/>
      </rPr>
      <t>d</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</si>
  <si>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G2</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</si>
  <si>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Qk</t>
    </r>
    <r>
      <rPr>
        <vertAlign val="subscript"/>
        <sz val="11"/>
        <color theme="1"/>
        <rFont val="Calibri"/>
        <family val="2"/>
        <scheme val="minor"/>
      </rPr>
      <t xml:space="preserve">d </t>
    </r>
    <r>
      <rPr>
        <sz val="11"/>
        <color theme="1"/>
        <rFont val="Calibri"/>
        <family val="2"/>
        <scheme val="minor"/>
      </rPr>
      <t xml:space="preserve">                  [KN/m</t>
    </r>
    <r>
      <rPr>
        <vertAlign val="superscript"/>
        <sz val="11"/>
        <color theme="1"/>
        <rFont val="Calibri"/>
        <family val="2"/>
        <scheme val="minor"/>
      </rPr>
      <t>2</t>
    </r>
    <r>
      <rPr>
        <sz val="11"/>
        <color theme="1"/>
        <rFont val="Calibri"/>
        <family val="2"/>
        <scheme val="minor"/>
      </rPr>
      <t>]</t>
    </r>
  </si>
  <si>
    <r>
      <t>G1k                [kN/m</t>
    </r>
    <r>
      <rPr>
        <vertAlign val="superscript"/>
        <sz val="11"/>
        <color theme="1"/>
        <rFont val="Calibri"/>
        <family val="2"/>
        <scheme val="minor"/>
      </rPr>
      <t>2</t>
    </r>
    <r>
      <rPr>
        <sz val="11"/>
        <color theme="1"/>
        <rFont val="Calibri"/>
        <family val="2"/>
        <scheme val="minor"/>
      </rPr>
      <t>]</t>
    </r>
  </si>
  <si>
    <r>
      <t>G2k    sbalzo        [kN/m</t>
    </r>
    <r>
      <rPr>
        <vertAlign val="superscript"/>
        <sz val="11"/>
        <color theme="1"/>
        <rFont val="Calibri"/>
        <family val="2"/>
        <scheme val="minor"/>
      </rPr>
      <t>2</t>
    </r>
    <r>
      <rPr>
        <sz val="11"/>
        <color theme="1"/>
        <rFont val="Calibri"/>
        <family val="2"/>
        <scheme val="minor"/>
      </rPr>
      <t>]</t>
    </r>
  </si>
  <si>
    <t>G1k           [kN/m]</t>
  </si>
  <si>
    <t>G2k             [kN/m]</t>
  </si>
  <si>
    <t>Qd1                   [kN/m]</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</si>
  <si>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 xml:space="preserve">d           </t>
    </r>
    <r>
      <rPr>
        <sz val="11"/>
        <color theme="1"/>
        <rFont val="Calibri"/>
        <family val="2"/>
        <scheme val="minor"/>
      </rPr>
      <t xml:space="preserve"> [kN/m]</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</si>
  <si>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[kN/m]</t>
    </r>
  </si>
  <si>
    <r>
      <t>G1k                [KN/m</t>
    </r>
    <r>
      <rPr>
        <vertAlign val="superscript"/>
        <sz val="11"/>
        <color theme="1"/>
        <rFont val="Calibri"/>
        <family val="2"/>
        <scheme val="minor"/>
      </rPr>
      <t>2</t>
    </r>
    <r>
      <rPr>
        <sz val="11"/>
        <color theme="1"/>
        <rFont val="Calibri"/>
        <family val="2"/>
        <scheme val="minor"/>
      </rPr>
      <t>]</t>
    </r>
  </si>
  <si>
    <t>Trave Spes. 100x24</t>
  </si>
  <si>
    <t xml:space="preserve">30x70 </t>
  </si>
  <si>
    <t>30x60 30x60</t>
  </si>
  <si>
    <t>Piano tipo</t>
  </si>
  <si>
    <t>60X30</t>
  </si>
  <si>
    <t>30X60</t>
  </si>
  <si>
    <t>scala</t>
  </si>
  <si>
    <r>
      <t>Carico               [KN/m</t>
    </r>
    <r>
      <rPr>
        <vertAlign val="superscript"/>
        <sz val="11"/>
        <color theme="1"/>
        <rFont val="Calibri"/>
        <family val="2"/>
        <scheme val="minor"/>
      </rPr>
      <t>2</t>
    </r>
    <r>
      <rPr>
        <sz val="11"/>
        <color theme="1"/>
        <rFont val="Calibri"/>
        <family val="2"/>
        <scheme val="minor"/>
      </rPr>
      <t>]</t>
    </r>
  </si>
  <si>
    <t>Travetti</t>
  </si>
  <si>
    <r>
      <t>G1k    scala         [kN/m</t>
    </r>
    <r>
      <rPr>
        <vertAlign val="superscript"/>
        <sz val="11"/>
        <color theme="1"/>
        <rFont val="Calibri"/>
        <family val="2"/>
        <scheme val="minor"/>
      </rPr>
      <t>2</t>
    </r>
    <r>
      <rPr>
        <sz val="11"/>
        <color theme="1"/>
        <rFont val="Calibri"/>
        <family val="2"/>
        <scheme val="minor"/>
      </rPr>
      <t>]</t>
    </r>
  </si>
  <si>
    <r>
      <t>G2k    scala         [kN/m</t>
    </r>
    <r>
      <rPr>
        <vertAlign val="superscript"/>
        <sz val="11"/>
        <color theme="1"/>
        <rFont val="Calibri"/>
        <family val="2"/>
        <scheme val="minor"/>
      </rPr>
      <t>2</t>
    </r>
    <r>
      <rPr>
        <sz val="11"/>
        <color theme="1"/>
        <rFont val="Calibri"/>
        <family val="2"/>
        <scheme val="minor"/>
      </rPr>
      <t>]</t>
    </r>
  </si>
  <si>
    <r>
      <t>Qk1  scala                 [kN/m</t>
    </r>
    <r>
      <rPr>
        <vertAlign val="superscript"/>
        <sz val="11"/>
        <color theme="1"/>
        <rFont val="Calibri"/>
        <family val="2"/>
        <scheme val="minor"/>
      </rPr>
      <t>2</t>
    </r>
    <r>
      <rPr>
        <sz val="11"/>
        <color theme="1"/>
        <rFont val="Calibri"/>
        <family val="2"/>
        <scheme val="minor"/>
      </rPr>
      <t>]</t>
    </r>
  </si>
  <si>
    <r>
      <t>Area solaio                [m</t>
    </r>
    <r>
      <rPr>
        <vertAlign val="superscript"/>
        <sz val="11"/>
        <color theme="1"/>
        <rFont val="Calibri"/>
        <family val="2"/>
        <scheme val="minor"/>
      </rPr>
      <t>2</t>
    </r>
    <r>
      <rPr>
        <sz val="11"/>
        <color theme="1"/>
        <rFont val="Calibri"/>
        <family val="2"/>
        <scheme val="minor"/>
      </rPr>
      <t>]</t>
    </r>
  </si>
  <si>
    <r>
      <t>Area scala               [m</t>
    </r>
    <r>
      <rPr>
        <vertAlign val="superscript"/>
        <sz val="11"/>
        <color theme="1"/>
        <rFont val="Calibri"/>
        <family val="2"/>
        <scheme val="minor"/>
      </rPr>
      <t>2</t>
    </r>
    <r>
      <rPr>
        <sz val="11"/>
        <color theme="1"/>
        <rFont val="Calibri"/>
        <family val="2"/>
        <scheme val="minor"/>
      </rPr>
      <t>]</t>
    </r>
  </si>
  <si>
    <r>
      <t>Area sbalzo   [m</t>
    </r>
    <r>
      <rPr>
        <vertAlign val="superscript"/>
        <sz val="11"/>
        <color theme="1"/>
        <rFont val="Calibri"/>
        <family val="2"/>
        <scheme val="minor"/>
      </rPr>
      <t>2</t>
    </r>
    <r>
      <rPr>
        <sz val="11"/>
        <color theme="1"/>
        <rFont val="Calibri"/>
        <family val="2"/>
        <scheme val="minor"/>
      </rPr>
      <t>]</t>
    </r>
  </si>
  <si>
    <r>
      <t>G</t>
    </r>
    <r>
      <rPr>
        <vertAlign val="subscript"/>
        <sz val="11"/>
        <color theme="1"/>
        <rFont val="Calibri"/>
        <family val="2"/>
        <scheme val="minor"/>
      </rPr>
      <t>k</t>
    </r>
    <r>
      <rPr>
        <sz val="11"/>
        <color theme="1"/>
        <rFont val="Calibri"/>
        <family val="2"/>
        <scheme val="minor"/>
      </rPr>
      <t>+Ѱ21 Q</t>
    </r>
    <r>
      <rPr>
        <vertAlign val="subscript"/>
        <sz val="11"/>
        <color theme="1"/>
        <rFont val="Calibri"/>
        <family val="2"/>
        <scheme val="minor"/>
      </rPr>
      <t xml:space="preserve">k                            </t>
    </r>
    <r>
      <rPr>
        <sz val="11"/>
        <color theme="1"/>
        <rFont val="Calibri"/>
        <family val="2"/>
        <scheme val="minor"/>
      </rPr>
      <t xml:space="preserve">  [kN]</t>
    </r>
  </si>
  <si>
    <t>Lunghezza trave             [m]</t>
  </si>
  <si>
    <r>
      <t>g</t>
    </r>
    <r>
      <rPr>
        <sz val="11"/>
        <color theme="1"/>
        <rFont val="Calibri"/>
        <family val="2"/>
        <scheme val="minor"/>
      </rPr>
      <t>Q3</t>
    </r>
    <r>
      <rPr>
        <sz val="11"/>
        <color theme="1"/>
        <rFont val="Calibri"/>
        <family val="2"/>
        <scheme val="minor"/>
      </rPr>
      <t/>
    </r>
  </si>
  <si>
    <t>Qk3                   [KN/m]</t>
  </si>
  <si>
    <t>Ѱ23</t>
  </si>
  <si>
    <t>Approccio globale semplificato al VI impalcato e torrino</t>
  </si>
  <si>
    <t>Il taglio di piano in definitiva viene ripartito tra …. pilastri in direzione x e ….. pilastri in direzione y anziché 13 in entrambe le direzioni.</t>
  </si>
  <si>
    <r>
      <t>Le travi manterranno la stessa sezione  in modo da limitare gli spostamenti della struttura e dal al 5° impalcato ridurrò la sezione di 30X60 cm</t>
    </r>
    <r>
      <rPr>
        <vertAlign val="superscript"/>
        <sz val="11"/>
        <color theme="1"/>
        <rFont val="Calibri"/>
        <family val="2"/>
        <scheme val="minor"/>
      </rPr>
      <t>2</t>
    </r>
    <r>
      <rPr>
        <sz val="11"/>
        <color theme="1"/>
        <rFont val="Calibri"/>
        <family val="2"/>
        <scheme val="minor"/>
      </rPr>
      <t>.</t>
    </r>
  </si>
  <si>
    <r>
      <t>Si sceglie la sezione 100X24 cm</t>
    </r>
    <r>
      <rPr>
        <vertAlign val="superscript"/>
        <sz val="11"/>
        <color theme="1"/>
        <rFont val="Calibri"/>
        <family val="2"/>
        <scheme val="minor"/>
      </rPr>
      <t>2</t>
    </r>
  </si>
  <si>
    <t>5° Impalcato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</si>
</sst>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9"/>
      <color indexed="81"/>
      <name val="Tahoma"/>
      <family val="2"/>
    </font>
    <font>
      <b/>
      <sz val="9"/>
      <color indexed="81"/>
      <name val="Tahoma"/>
      <family val="2"/>
    </font>
    <font>
      <sz val="12"/>
      <color theme="1"/>
      <name val="Calibri"/>
      <family val="2"/>
      <scheme val="minor"/>
    </font>
    <font>
      <vertAlign val="superscript"/>
      <sz val="12"/>
      <color theme="1"/>
      <name val="Calibri"/>
      <family val="2"/>
      <scheme val="minor"/>
    </font>
    <font>
      <vertAlign val="subscript"/>
      <sz val="12"/>
      <color theme="1"/>
      <name val="Calibri"/>
      <family val="2"/>
      <scheme val="minor"/>
    </font>
    <font>
      <sz val="11"/>
      <color theme="1"/>
      <name val="Calibri"/>
      <family val="2"/>
    </font>
    <font>
      <vertAlign val="subscript"/>
      <sz val="11"/>
      <color theme="1"/>
      <name val="Calibri"/>
      <family val="2"/>
      <scheme val="minor"/>
    </font>
    <font>
      <vertAlign val="subscript"/>
      <sz val="11"/>
      <color theme="1"/>
      <name val="Calibri"/>
      <family val="2"/>
    </font>
    <font>
      <sz val="11"/>
      <color theme="1"/>
      <name val="GreekS"/>
    </font>
    <font>
      <sz val="11"/>
      <color theme="1"/>
      <name val="Haettenschweiler"/>
      <family val="2"/>
    </font>
    <font>
      <b/>
      <sz val="12"/>
      <color theme="1"/>
      <name val="Calibri"/>
      <family val="2"/>
      <scheme val="minor"/>
    </font>
    <font>
      <b/>
      <u/>
      <sz val="11"/>
      <color theme="1"/>
      <name val="Calibri"/>
      <family val="2"/>
      <scheme val="minor"/>
    </font>
    <font>
      <vertAlign val="superscript"/>
      <sz val="11"/>
      <color theme="1"/>
      <name val="Calibri"/>
      <family val="2"/>
      <scheme val="minor"/>
    </font>
    <font>
      <i/>
      <sz val="12"/>
      <color theme="1"/>
      <name val="Calibri Light"/>
      <family val="1"/>
      <scheme val="major"/>
    </font>
    <font>
      <sz val="12"/>
      <color theme="1"/>
      <name val="GreekC"/>
    </font>
    <font>
      <sz val="12"/>
      <color theme="1"/>
      <name val="Calibri"/>
      <family val="2"/>
    </font>
    <font>
      <vertAlign val="subscript"/>
      <sz val="12"/>
      <color theme="1"/>
      <name val="Calibri"/>
      <family val="2"/>
    </font>
    <font>
      <sz val="12"/>
      <color theme="1"/>
      <name val="Calibri Light"/>
      <family val="1"/>
      <scheme val="major"/>
    </font>
    <font>
      <vertAlign val="subscript"/>
      <sz val="12"/>
      <color theme="1"/>
      <name val="Calibri Light"/>
      <family val="1"/>
      <scheme val="major"/>
    </font>
    <font>
      <i/>
      <sz val="12"/>
      <color theme="1"/>
      <name val="Calibri"/>
      <family val="2"/>
    </font>
    <font>
      <i/>
      <sz val="12"/>
      <color theme="1"/>
      <name val="Calibri"/>
      <family val="2"/>
      <scheme val="minor"/>
    </font>
    <font>
      <sz val="11"/>
      <color theme="1"/>
      <name val="Calibri Light"/>
      <family val="1"/>
      <scheme val="major"/>
    </font>
    <font>
      <sz val="12"/>
      <color theme="1"/>
      <name val="Calibri Light"/>
      <family val="2"/>
      <scheme val="major"/>
    </font>
    <font>
      <b/>
      <sz val="14"/>
      <color theme="1"/>
      <name val="Calibri"/>
      <family val="2"/>
      <scheme val="minor"/>
    </font>
    <font>
      <sz val="11"/>
      <name val="Calibri"/>
      <family val="2"/>
      <scheme val="minor"/>
    </font>
    <font>
      <vertAlign val="superscript"/>
      <sz val="11"/>
      <color theme="1"/>
      <name val="Calibri"/>
      <family val="2"/>
    </font>
  </fonts>
  <fills count="15">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rgb="FFFF0000"/>
        <bgColor indexed="64"/>
      </patternFill>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4"/>
        <bgColor indexed="64"/>
      </patternFill>
    </fill>
    <fill>
      <patternFill patternType="solid">
        <fgColor rgb="FF7030A0"/>
        <bgColor indexed="64"/>
      </patternFill>
    </fill>
  </fills>
  <borders count="6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style="thin">
        <color theme="0" tint="-0.14993743705557422"/>
      </right>
      <top/>
      <bottom/>
      <diagonal/>
    </border>
    <border>
      <left style="thin">
        <color theme="0" tint="-0.14993743705557422"/>
      </left>
      <right style="thin">
        <color theme="0" tint="-0.14993743705557422"/>
      </right>
      <top/>
      <bottom style="thin">
        <color theme="0" tint="-0.14993743705557422"/>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style="thin">
        <color theme="0" tint="-0.14990691854609822"/>
      </right>
      <top style="thin">
        <color theme="0" tint="-0.14993743705557422"/>
      </top>
      <bottom style="thin">
        <color theme="0" tint="-0.14990691854609822"/>
      </bottom>
      <diagonal/>
    </border>
    <border>
      <left style="thin">
        <color theme="0" tint="-0.14990691854609822"/>
      </left>
      <right style="thin">
        <color theme="0" tint="-0.14990691854609822"/>
      </right>
      <top style="thin">
        <color theme="0" tint="-0.14993743705557422"/>
      </top>
      <bottom style="thin">
        <color theme="0" tint="-0.14990691854609822"/>
      </bottom>
      <diagonal/>
    </border>
    <border>
      <left style="thin">
        <color theme="0" tint="-0.14990691854609822"/>
      </left>
      <right style="thin">
        <color theme="0" tint="-0.14993743705557422"/>
      </right>
      <top style="thin">
        <color theme="0" tint="-0.14993743705557422"/>
      </top>
      <bottom style="thin">
        <color theme="0" tint="-0.14990691854609822"/>
      </bottom>
      <diagonal/>
    </border>
    <border>
      <left/>
      <right style="thin">
        <color theme="0" tint="-0.14996795556505021"/>
      </right>
      <top/>
      <bottom/>
      <diagonal/>
    </border>
    <border>
      <left/>
      <right/>
      <top/>
      <bottom style="thin">
        <color theme="0" tint="-0.14993743705557422"/>
      </bottom>
      <diagonal/>
    </border>
    <border>
      <left/>
      <right style="thin">
        <color theme="0" tint="-0.14993743705557422"/>
      </right>
      <top/>
      <bottom style="thin">
        <color theme="0" tint="-0.14993743705557422"/>
      </bottom>
      <diagonal/>
    </border>
    <border>
      <left style="thin">
        <color theme="0" tint="-0.14993743705557422"/>
      </left>
      <right style="thin">
        <color theme="0" tint="-0.14993743705557422"/>
      </right>
      <top/>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right style="thin">
        <color theme="0" tint="-0.14993743705557422"/>
      </right>
      <top style="thin">
        <color indexed="64"/>
      </top>
      <bottom style="thin">
        <color indexed="64"/>
      </bottom>
      <diagonal/>
    </border>
    <border>
      <left style="thin">
        <color theme="0" tint="-0.14993743705557422"/>
      </left>
      <right style="thin">
        <color theme="0" tint="-0.14993743705557422"/>
      </right>
      <top style="thin">
        <color indexed="64"/>
      </top>
      <bottom style="thin">
        <color indexed="64"/>
      </bottom>
      <diagonal/>
    </border>
    <border>
      <left style="thin">
        <color theme="0" tint="-0.14993743705557422"/>
      </left>
      <right style="thin">
        <color indexed="64"/>
      </right>
      <top style="thin">
        <color indexed="64"/>
      </top>
      <bottom style="thin">
        <color indexed="64"/>
      </bottom>
      <diagonal/>
    </border>
    <border>
      <left style="thin">
        <color theme="0" tint="-0.14993743705557422"/>
      </left>
      <right/>
      <top/>
      <bottom/>
      <diagonal/>
    </border>
    <border>
      <left style="thin">
        <color theme="0" tint="-0.14993743705557422"/>
      </left>
      <right/>
      <top style="thin">
        <color theme="0" tint="-0.14990691854609822"/>
      </top>
      <bottom style="thin">
        <color theme="0" tint="-0.14993743705557422"/>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indexed="64"/>
      </left>
      <right style="thin">
        <color theme="0" tint="-0.14993743705557422"/>
      </right>
      <top style="thin">
        <color indexed="64"/>
      </top>
      <bottom style="thin">
        <color indexed="64"/>
      </bottom>
      <diagonal/>
    </border>
    <border>
      <left/>
      <right/>
      <top style="thin">
        <color theme="0" tint="-0.14996795556505021"/>
      </top>
      <bottom style="thin">
        <color theme="0" tint="-0.14993743705557422"/>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right/>
      <top/>
      <bottom style="thin">
        <color theme="1"/>
      </bottom>
      <diagonal/>
    </border>
    <border>
      <left/>
      <right/>
      <top style="thin">
        <color auto="1"/>
      </top>
      <bottom style="thin">
        <color theme="1"/>
      </bottom>
      <diagonal/>
    </border>
    <border>
      <left/>
      <right style="thin">
        <color theme="1"/>
      </right>
      <top/>
      <bottom style="thin">
        <color theme="1"/>
      </bottom>
      <diagonal/>
    </border>
    <border>
      <left style="thin">
        <color theme="0" tint="-0.14993743705557422"/>
      </left>
      <right/>
      <top/>
      <bottom style="thin">
        <color theme="0" tint="-0.14993743705557422"/>
      </bottom>
      <diagonal/>
    </border>
    <border>
      <left style="thin">
        <color theme="0" tint="-0.14993743705557422"/>
      </left>
      <right style="thin">
        <color theme="0" tint="-0.14993743705557422"/>
      </right>
      <top/>
      <bottom style="thin">
        <color indexed="64"/>
      </bottom>
      <diagonal/>
    </border>
    <border>
      <left style="thin">
        <color theme="0" tint="-0.14993743705557422"/>
      </left>
      <right/>
      <top style="thin">
        <color indexed="64"/>
      </top>
      <bottom style="thin">
        <color indexed="64"/>
      </bottom>
      <diagonal/>
    </border>
    <border>
      <left style="thin">
        <color theme="0" tint="-0.14993743705557422"/>
      </left>
      <right style="thin">
        <color theme="0" tint="-0.14990691854609822"/>
      </right>
      <top style="thin">
        <color indexed="64"/>
      </top>
      <bottom style="thin">
        <color indexed="64"/>
      </bottom>
      <diagonal/>
    </border>
  </borders>
  <cellStyleXfs count="1">
    <xf numFmtId="0" fontId="0" fillId="0" borderId="0"/>
  </cellStyleXfs>
  <cellXfs count="464">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xf>
    <xf numFmtId="0" fontId="3" fillId="0" borderId="0" xfId="0" applyFont="1"/>
    <xf numFmtId="2" fontId="3" fillId="0" borderId="1" xfId="0" applyNumberFormat="1" applyFont="1" applyFill="1" applyBorder="1" applyAlignment="1">
      <alignment horizontal="center" vertical="center"/>
    </xf>
    <xf numFmtId="2" fontId="3" fillId="0" borderId="2" xfId="0" applyNumberFormat="1" applyFont="1" applyBorder="1"/>
    <xf numFmtId="0" fontId="3" fillId="0" borderId="1" xfId="0" applyFont="1" applyFill="1" applyBorder="1" applyAlignment="1">
      <alignment horizontal="center" vertical="center" wrapText="1"/>
    </xf>
    <xf numFmtId="0" fontId="0" fillId="0" borderId="1" xfId="0" applyBorder="1" applyAlignment="1">
      <alignment horizontal="center"/>
    </xf>
    <xf numFmtId="2" fontId="0" fillId="0" borderId="0" xfId="0" applyNumberFormat="1" applyAlignment="1">
      <alignment horizontal="center" vertical="center"/>
    </xf>
    <xf numFmtId="0" fontId="3" fillId="0" borderId="0" xfId="0" applyFont="1" applyBorder="1" applyAlignment="1">
      <alignment horizontal="center" vertical="center"/>
    </xf>
    <xf numFmtId="2" fontId="3" fillId="0" borderId="0" xfId="0" applyNumberFormat="1" applyFont="1" applyBorder="1" applyAlignment="1">
      <alignment horizontal="center" vertical="center"/>
    </xf>
    <xf numFmtId="2" fontId="3" fillId="0" borderId="0" xfId="0" applyNumberFormat="1" applyFont="1" applyBorder="1"/>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2" fontId="0" fillId="0" borderId="1" xfId="0" applyNumberFormat="1" applyBorder="1" applyAlignment="1">
      <alignment horizontal="center" vertical="center"/>
    </xf>
    <xf numFmtId="0" fontId="3" fillId="0" borderId="7" xfId="0" applyFont="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Font="1" applyFill="1" applyBorder="1" applyAlignment="1">
      <alignment horizontal="center" vertical="center" wrapText="1"/>
    </xf>
    <xf numFmtId="0" fontId="3" fillId="0" borderId="4" xfId="0" applyFont="1" applyBorder="1" applyAlignment="1">
      <alignment horizontal="center" vertical="center"/>
    </xf>
    <xf numFmtId="2" fontId="0" fillId="0" borderId="4" xfId="0" applyNumberFormat="1" applyBorder="1" applyAlignment="1">
      <alignment horizontal="center" vertical="center"/>
    </xf>
    <xf numFmtId="0" fontId="0" fillId="0" borderId="4" xfId="0" applyBorder="1" applyAlignment="1">
      <alignment horizontal="center" vertical="center"/>
    </xf>
    <xf numFmtId="0" fontId="3" fillId="0" borderId="3" xfId="0" applyFont="1" applyBorder="1" applyAlignment="1">
      <alignment horizontal="center" vertical="center"/>
    </xf>
    <xf numFmtId="2" fontId="0" fillId="0" borderId="3" xfId="0" applyNumberFormat="1" applyBorder="1" applyAlignment="1">
      <alignment horizontal="center" vertical="center"/>
    </xf>
    <xf numFmtId="0" fontId="0" fillId="0" borderId="3" xfId="0" applyBorder="1" applyAlignment="1">
      <alignment horizontal="center" vertical="center"/>
    </xf>
    <xf numFmtId="0" fontId="0" fillId="0" borderId="3" xfId="0" applyBorder="1"/>
    <xf numFmtId="0" fontId="0" fillId="0" borderId="7" xfId="0" applyBorder="1"/>
    <xf numFmtId="2" fontId="3" fillId="0" borderId="4" xfId="0" applyNumberFormat="1" applyFont="1" applyBorder="1" applyAlignment="1">
      <alignment horizontal="center" vertical="center"/>
    </xf>
    <xf numFmtId="2" fontId="3" fillId="0" borderId="3" xfId="0" applyNumberFormat="1" applyFont="1" applyBorder="1" applyAlignment="1">
      <alignment horizontal="center" vertical="center"/>
    </xf>
    <xf numFmtId="2" fontId="3" fillId="0" borderId="7" xfId="0" applyNumberFormat="1"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2" fontId="0" fillId="0" borderId="0" xfId="0" applyNumberFormat="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1" xfId="0" applyBorder="1" applyAlignment="1">
      <alignment vertical="center" wrapText="1"/>
    </xf>
    <xf numFmtId="2" fontId="0" fillId="0" borderId="1" xfId="0" applyNumberForma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7" xfId="0" applyNumberFormat="1" applyBorder="1" applyAlignment="1">
      <alignment horizontal="center" vertical="center" wrapText="1"/>
    </xf>
    <xf numFmtId="2" fontId="0" fillId="0" borderId="8" xfId="0" applyNumberFormat="1" applyBorder="1" applyAlignment="1">
      <alignment horizontal="center" vertical="center" wrapText="1"/>
    </xf>
    <xf numFmtId="2" fontId="0" fillId="0" borderId="9" xfId="0" applyNumberFormat="1" applyBorder="1" applyAlignment="1">
      <alignment horizontal="center" vertical="center" wrapText="1"/>
    </xf>
    <xf numFmtId="2" fontId="0" fillId="0" borderId="10" xfId="0" applyNumberForma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wrapText="1"/>
    </xf>
    <xf numFmtId="0" fontId="9" fillId="0" borderId="18" xfId="0" applyFont="1" applyBorder="1" applyAlignment="1">
      <alignment horizontal="center" vertical="center"/>
    </xf>
    <xf numFmtId="0" fontId="10" fillId="0" borderId="0" xfId="0" applyFont="1" applyAlignment="1">
      <alignment horizontal="center" vertical="center" wrapText="1"/>
    </xf>
    <xf numFmtId="0" fontId="0" fillId="0" borderId="0" xfId="0" applyBorder="1" applyAlignment="1">
      <alignment horizontal="center" vertical="center"/>
    </xf>
    <xf numFmtId="0" fontId="0" fillId="0" borderId="16" xfId="0" applyFont="1" applyBorder="1" applyAlignment="1">
      <alignment horizontal="center" vertical="center" wrapText="1"/>
    </xf>
    <xf numFmtId="0" fontId="0" fillId="0" borderId="17" xfId="0" applyBorder="1" applyAlignment="1">
      <alignment vertical="center"/>
    </xf>
    <xf numFmtId="0" fontId="0" fillId="0" borderId="0" xfId="0" applyAlignment="1">
      <alignment vertical="center" wrapText="1"/>
    </xf>
    <xf numFmtId="0" fontId="0" fillId="0" borderId="0" xfId="0" applyFill="1" applyBorder="1" applyAlignment="1">
      <alignment horizontal="center" vertical="center" wrapText="1"/>
    </xf>
    <xf numFmtId="0" fontId="0" fillId="0" borderId="0" xfId="0"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2" fillId="0" borderId="22" xfId="0" applyFont="1"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1" fontId="0" fillId="0" borderId="0" xfId="0" applyNumberFormat="1" applyAlignment="1">
      <alignment horizontal="center" vertical="center"/>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0" fillId="0" borderId="0"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3" xfId="0" applyFill="1" applyBorder="1" applyAlignment="1">
      <alignment horizontal="center" vertical="center" wrapText="1"/>
    </xf>
    <xf numFmtId="0" fontId="0" fillId="7" borderId="1" xfId="0" applyFill="1" applyBorder="1" applyAlignment="1">
      <alignment horizontal="center" vertical="center"/>
    </xf>
    <xf numFmtId="0" fontId="0" fillId="0" borderId="1" xfId="0" applyFill="1" applyBorder="1" applyAlignment="1">
      <alignment horizontal="center" vertical="center"/>
    </xf>
    <xf numFmtId="0" fontId="9" fillId="0" borderId="1" xfId="0" applyFont="1" applyBorder="1" applyAlignment="1">
      <alignment horizontal="center" vertical="center" wrapText="1"/>
    </xf>
    <xf numFmtId="0" fontId="0" fillId="0" borderId="1" xfId="0" applyBorder="1"/>
    <xf numFmtId="0" fontId="9" fillId="0" borderId="16" xfId="0" applyFont="1" applyBorder="1" applyAlignment="1">
      <alignment horizontal="center" vertical="center"/>
    </xf>
    <xf numFmtId="2" fontId="0" fillId="0" borderId="16" xfId="0" applyNumberForma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8" borderId="16" xfId="0" applyFill="1" applyBorder="1" applyAlignment="1">
      <alignment vertical="center"/>
    </xf>
    <xf numFmtId="0" fontId="0" fillId="8" borderId="33" xfId="0" applyFill="1" applyBorder="1" applyAlignment="1">
      <alignment vertical="center"/>
    </xf>
    <xf numFmtId="0" fontId="0" fillId="8" borderId="34" xfId="0" applyFill="1" applyBorder="1" applyAlignment="1">
      <alignment vertical="center"/>
    </xf>
    <xf numFmtId="0" fontId="0" fillId="8" borderId="35" xfId="0" applyFill="1" applyBorder="1" applyAlignment="1">
      <alignment vertical="center"/>
    </xf>
    <xf numFmtId="2" fontId="0" fillId="0" borderId="16" xfId="0" applyNumberFormat="1" applyBorder="1"/>
    <xf numFmtId="0" fontId="0" fillId="0" borderId="18" xfId="0" applyBorder="1" applyAlignment="1">
      <alignment horizontal="center" vertical="center"/>
    </xf>
    <xf numFmtId="0" fontId="0" fillId="0" borderId="16" xfId="0" applyBorder="1"/>
    <xf numFmtId="2" fontId="0" fillId="0" borderId="27" xfId="0" applyNumberFormat="1" applyBorder="1" applyAlignment="1">
      <alignment horizontal="center" vertical="center"/>
    </xf>
    <xf numFmtId="2" fontId="0" fillId="0" borderId="28" xfId="0" applyNumberFormat="1" applyBorder="1" applyAlignment="1">
      <alignment horizontal="center" vertical="center"/>
    </xf>
    <xf numFmtId="2" fontId="0" fillId="0" borderId="29" xfId="0" applyNumberFormat="1" applyBorder="1" applyAlignment="1">
      <alignment horizontal="center" vertical="center"/>
    </xf>
    <xf numFmtId="0" fontId="0" fillId="0" borderId="0" xfId="0" applyBorder="1"/>
    <xf numFmtId="2" fontId="0" fillId="0" borderId="0" xfId="0" applyNumberFormat="1" applyBorder="1" applyAlignment="1">
      <alignment horizontal="center" vertical="center"/>
    </xf>
    <xf numFmtId="0" fontId="0" fillId="0" borderId="36" xfId="0" applyBorder="1" applyAlignment="1">
      <alignment horizontal="center" vertical="center"/>
    </xf>
    <xf numFmtId="0" fontId="0" fillId="0" borderId="39" xfId="0" applyFont="1" applyFill="1" applyBorder="1" applyAlignment="1">
      <alignment horizontal="center" vertical="center" wrapText="1"/>
    </xf>
    <xf numFmtId="0" fontId="9" fillId="0" borderId="0" xfId="0" applyFont="1" applyBorder="1" applyAlignment="1">
      <alignment horizontal="center" vertical="center"/>
    </xf>
    <xf numFmtId="2" fontId="0" fillId="0" borderId="36" xfId="0" applyNumberFormat="1" applyBorder="1" applyAlignment="1">
      <alignment horizontal="center" vertical="center"/>
    </xf>
    <xf numFmtId="2" fontId="0" fillId="0" borderId="40" xfId="0" applyNumberForma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9" fillId="0" borderId="5" xfId="0" applyFont="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18" xfId="0" applyFont="1" applyBorder="1" applyAlignment="1">
      <alignment horizontal="center" vertical="center" wrapText="1"/>
    </xf>
    <xf numFmtId="0" fontId="0" fillId="0" borderId="47" xfId="0" applyBorder="1"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2" fontId="0" fillId="0" borderId="2" xfId="0" applyNumberFormat="1"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8" borderId="1" xfId="0" applyFill="1"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8" xfId="0" applyNumberFormat="1" applyBorder="1" applyAlignment="1">
      <alignment horizontal="center" vertical="center"/>
    </xf>
    <xf numFmtId="0" fontId="9" fillId="0" borderId="43" xfId="0" applyFont="1" applyBorder="1" applyAlignment="1">
      <alignment horizontal="center" vertical="center"/>
    </xf>
    <xf numFmtId="0" fontId="10" fillId="0" borderId="2" xfId="0" applyFont="1" applyBorder="1" applyAlignment="1">
      <alignment horizontal="center" vertical="center" wrapText="1"/>
    </xf>
    <xf numFmtId="0" fontId="0" fillId="0" borderId="48" xfId="0" applyBorder="1" applyAlignment="1">
      <alignment horizontal="center" vertical="center" wrapText="1"/>
    </xf>
    <xf numFmtId="0" fontId="0" fillId="0" borderId="43" xfId="0" applyFont="1" applyBorder="1" applyAlignment="1">
      <alignment horizontal="center" vertical="center" wrapText="1"/>
    </xf>
    <xf numFmtId="0" fontId="0" fillId="0" borderId="17" xfId="0" quotePrefix="1" applyBorder="1" applyAlignment="1">
      <alignment horizontal="center" vertical="center"/>
    </xf>
    <xf numFmtId="0" fontId="0" fillId="0" borderId="0" xfId="0" quotePrefix="1" applyAlignment="1">
      <alignment horizontal="center" vertical="center"/>
    </xf>
    <xf numFmtId="0" fontId="9" fillId="0" borderId="6" xfId="0" applyFont="1" applyBorder="1" applyAlignment="1">
      <alignment horizontal="center" vertical="center"/>
    </xf>
    <xf numFmtId="0" fontId="0" fillId="0" borderId="6" xfId="0" applyFont="1" applyBorder="1" applyAlignment="1">
      <alignment horizontal="center" vertical="center" wrapText="1"/>
    </xf>
    <xf numFmtId="0" fontId="0" fillId="0" borderId="18" xfId="0" applyBorder="1"/>
    <xf numFmtId="0" fontId="0" fillId="8" borderId="27" xfId="0" applyFill="1" applyBorder="1" applyAlignment="1">
      <alignment vertical="center" wrapText="1"/>
    </xf>
    <xf numFmtId="0" fontId="0" fillId="0" borderId="4" xfId="0" applyFill="1" applyBorder="1" applyAlignment="1">
      <alignment horizontal="center" vertical="center"/>
    </xf>
    <xf numFmtId="16" fontId="0" fillId="0" borderId="17" xfId="0" quotePrefix="1" applyNumberFormat="1" applyBorder="1" applyAlignment="1">
      <alignment horizontal="center" vertical="center"/>
    </xf>
    <xf numFmtId="2" fontId="0" fillId="0" borderId="11" xfId="0" applyNumberFormat="1"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2" fontId="3" fillId="0" borderId="0" xfId="0" applyNumberFormat="1" applyFont="1"/>
    <xf numFmtId="0" fontId="3" fillId="0" borderId="11" xfId="0" applyFont="1" applyBorder="1" applyAlignment="1">
      <alignment horizontal="center" vertical="center" wrapText="1"/>
    </xf>
    <xf numFmtId="2" fontId="3" fillId="0" borderId="5" xfId="0" applyNumberFormat="1" applyFont="1" applyBorder="1" applyAlignment="1">
      <alignment horizontal="center" vertical="center"/>
    </xf>
    <xf numFmtId="0" fontId="0" fillId="0" borderId="50" xfId="0" applyBorder="1"/>
    <xf numFmtId="0" fontId="14" fillId="8" borderId="50" xfId="0" applyFont="1" applyFill="1" applyBorder="1" applyAlignment="1">
      <alignment horizontal="center"/>
    </xf>
    <xf numFmtId="0" fontId="3" fillId="10" borderId="51" xfId="0" applyFont="1" applyFill="1" applyBorder="1" applyAlignment="1">
      <alignment horizontal="center" vertical="center" wrapText="1"/>
    </xf>
    <xf numFmtId="0" fontId="3" fillId="10" borderId="52" xfId="0" applyFont="1" applyFill="1" applyBorder="1" applyAlignment="1">
      <alignment horizontal="center" vertical="center" wrapText="1"/>
    </xf>
    <xf numFmtId="0" fontId="16" fillId="10" borderId="52" xfId="0" applyFont="1" applyFill="1" applyBorder="1" applyAlignment="1">
      <alignment horizontal="center" vertical="center"/>
    </xf>
    <xf numFmtId="0" fontId="20" fillId="8" borderId="52" xfId="0" applyFont="1" applyFill="1" applyBorder="1" applyAlignment="1">
      <alignment horizontal="center" vertical="center"/>
    </xf>
    <xf numFmtId="0" fontId="21" fillId="8" borderId="52" xfId="0" applyFont="1" applyFill="1" applyBorder="1" applyAlignment="1">
      <alignment horizontal="center" vertical="center"/>
    </xf>
    <xf numFmtId="0" fontId="21" fillId="8" borderId="53" xfId="0" applyFont="1" applyFill="1" applyBorder="1" applyAlignment="1">
      <alignment horizontal="center" vertical="center"/>
    </xf>
    <xf numFmtId="0" fontId="0" fillId="0" borderId="0" xfId="0" applyAlignment="1">
      <alignment horizontal="center"/>
    </xf>
    <xf numFmtId="0" fontId="0" fillId="0" borderId="50" xfId="0" applyBorder="1" applyAlignment="1">
      <alignment horizontal="center" vertical="center"/>
    </xf>
    <xf numFmtId="0" fontId="22" fillId="0" borderId="0" xfId="0" applyFont="1" applyAlignment="1">
      <alignment horizontal="center"/>
    </xf>
    <xf numFmtId="0" fontId="3" fillId="10" borderId="51" xfId="0" applyFont="1" applyFill="1" applyBorder="1" applyAlignment="1">
      <alignment horizontal="center" vertical="center"/>
    </xf>
    <xf numFmtId="0" fontId="18" fillId="10" borderId="53" xfId="0" applyFont="1" applyFill="1" applyBorder="1" applyAlignment="1">
      <alignment horizontal="center" vertical="center"/>
    </xf>
    <xf numFmtId="0" fontId="14" fillId="8" borderId="0" xfId="0" applyFont="1" applyFill="1" applyBorder="1" applyAlignment="1">
      <alignment horizontal="center"/>
    </xf>
    <xf numFmtId="0" fontId="3" fillId="8" borderId="0" xfId="0" applyFont="1" applyFill="1" applyBorder="1" applyAlignment="1">
      <alignment horizontal="center" vertical="center" wrapText="1"/>
    </xf>
    <xf numFmtId="2" fontId="3" fillId="0" borderId="2" xfId="0" applyNumberFormat="1" applyFont="1" applyBorder="1" applyAlignment="1">
      <alignment horizontal="center" vertical="center"/>
    </xf>
    <xf numFmtId="0" fontId="3" fillId="0" borderId="50" xfId="0" applyFont="1" applyBorder="1" applyAlignment="1">
      <alignment horizontal="center" vertical="center"/>
    </xf>
    <xf numFmtId="0" fontId="23" fillId="8" borderId="50" xfId="0" applyFont="1" applyFill="1" applyBorder="1" applyAlignment="1">
      <alignment horizontal="center"/>
    </xf>
    <xf numFmtId="0" fontId="3" fillId="8" borderId="53" xfId="0" applyFont="1" applyFill="1" applyBorder="1" applyAlignment="1">
      <alignment horizontal="center" vertical="center" wrapText="1"/>
    </xf>
    <xf numFmtId="0" fontId="0" fillId="0" borderId="51" xfId="0" applyBorder="1" applyAlignment="1">
      <alignment horizontal="center" vertical="center"/>
    </xf>
    <xf numFmtId="0" fontId="0" fillId="0" borderId="53" xfId="0" applyBorder="1" applyAlignment="1">
      <alignment horizontal="center" vertical="center" wrapText="1"/>
    </xf>
    <xf numFmtId="0" fontId="3" fillId="0" borderId="55" xfId="0" applyFont="1" applyFill="1" applyBorder="1" applyAlignment="1">
      <alignment horizontal="center" vertical="center" wrapText="1"/>
    </xf>
    <xf numFmtId="0" fontId="0" fillId="0" borderId="57" xfId="0" applyBorder="1" applyAlignment="1">
      <alignment horizontal="center" vertical="center" wrapText="1"/>
    </xf>
    <xf numFmtId="0" fontId="3" fillId="0" borderId="56" xfId="0" applyFont="1" applyFill="1" applyBorder="1" applyAlignment="1">
      <alignment horizontal="center" vertical="center" wrapText="1"/>
    </xf>
    <xf numFmtId="0" fontId="0" fillId="0" borderId="0" xfId="0" applyBorder="1" applyAlignment="1">
      <alignment horizontal="center" vertical="center"/>
    </xf>
    <xf numFmtId="0" fontId="0" fillId="0" borderId="17"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1" fontId="0" fillId="0" borderId="0" xfId="0" applyNumberFormat="1"/>
    <xf numFmtId="0" fontId="0" fillId="0" borderId="0" xfId="0" applyAlignment="1"/>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wrapText="1"/>
    </xf>
    <xf numFmtId="0" fontId="0" fillId="0" borderId="27" xfId="0" applyFill="1" applyBorder="1" applyAlignment="1">
      <alignment vertical="center"/>
    </xf>
    <xf numFmtId="0" fontId="0" fillId="0" borderId="28" xfId="0" applyFill="1" applyBorder="1" applyAlignment="1">
      <alignment vertical="center"/>
    </xf>
    <xf numFmtId="0" fontId="0" fillId="0" borderId="29" xfId="0" applyFill="1"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37" xfId="0" applyFill="1" applyBorder="1" applyAlignment="1">
      <alignment vertical="center"/>
    </xf>
    <xf numFmtId="0" fontId="0" fillId="0" borderId="37" xfId="0" applyBorder="1" applyAlignment="1">
      <alignment vertical="center"/>
    </xf>
    <xf numFmtId="0" fontId="0" fillId="8" borderId="16" xfId="0" applyFill="1" applyBorder="1" applyAlignment="1">
      <alignment horizontal="center" vertical="center"/>
    </xf>
    <xf numFmtId="0" fontId="0" fillId="0" borderId="49" xfId="0" applyFill="1" applyBorder="1" applyAlignment="1">
      <alignment vertical="center"/>
    </xf>
    <xf numFmtId="0" fontId="0" fillId="8" borderId="46" xfId="0" applyFill="1" applyBorder="1" applyAlignment="1">
      <alignment vertical="center" wrapText="1"/>
    </xf>
    <xf numFmtId="0" fontId="0" fillId="0" borderId="17" xfId="0" applyBorder="1" applyAlignment="1">
      <alignment vertical="center" wrapText="1"/>
    </xf>
    <xf numFmtId="0" fontId="0" fillId="0" borderId="9" xfId="0" applyFill="1" applyBorder="1" applyAlignment="1">
      <alignment vertical="center"/>
    </xf>
    <xf numFmtId="0" fontId="0" fillId="0" borderId="0" xfId="0" applyFill="1" applyBorder="1" applyAlignment="1">
      <alignment vertical="center"/>
    </xf>
    <xf numFmtId="0" fontId="0" fillId="0" borderId="38" xfId="0" applyBorder="1" applyAlignment="1">
      <alignment vertical="center" wrapText="1"/>
    </xf>
    <xf numFmtId="0" fontId="0" fillId="0" borderId="0" xfId="0" applyAlignment="1">
      <alignment horizontal="center"/>
    </xf>
    <xf numFmtId="16" fontId="0" fillId="0" borderId="17" xfId="0" quotePrefix="1" applyNumberFormat="1" applyBorder="1" applyAlignment="1">
      <alignment horizontal="center" vertical="center" wrapText="1"/>
    </xf>
    <xf numFmtId="0" fontId="0" fillId="0" borderId="18" xfId="0" applyFont="1" applyBorder="1" applyAlignment="1">
      <alignment horizontal="center" vertical="center"/>
    </xf>
    <xf numFmtId="0" fontId="0" fillId="0" borderId="10" xfId="0" applyBorder="1" applyAlignment="1">
      <alignment vertical="center" wrapText="1"/>
    </xf>
    <xf numFmtId="0" fontId="0" fillId="0" borderId="14" xfId="0" applyBorder="1" applyAlignment="1">
      <alignment horizontal="center" vertical="center" wrapText="1"/>
    </xf>
    <xf numFmtId="0" fontId="0" fillId="0" borderId="59"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2" fontId="0" fillId="0" borderId="1" xfId="0" applyNumberFormat="1" applyBorder="1" applyAlignment="1">
      <alignment horizontal="center"/>
    </xf>
    <xf numFmtId="0" fontId="0" fillId="0" borderId="60" xfId="0" applyBorder="1" applyAlignment="1">
      <alignment horizontal="center" vertical="center" wrapText="1"/>
    </xf>
    <xf numFmtId="2" fontId="0" fillId="0" borderId="0" xfId="0" applyNumberFormat="1" applyAlignment="1">
      <alignment horizont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1" fillId="0" borderId="1" xfId="0" applyFont="1" applyBorder="1" applyAlignment="1">
      <alignment horizontal="center" vertical="center"/>
    </xf>
    <xf numFmtId="16" fontId="0" fillId="0" borderId="7" xfId="0" quotePrefix="1" applyNumberFormat="1" applyBorder="1" applyAlignment="1">
      <alignment horizontal="center" vertical="center"/>
    </xf>
    <xf numFmtId="0" fontId="0" fillId="0" borderId="0" xfId="0" applyAlignment="1">
      <alignment vertical="center"/>
    </xf>
    <xf numFmtId="0" fontId="0" fillId="0" borderId="1" xfId="0" quotePrefix="1" applyBorder="1" applyAlignment="1">
      <alignment horizontal="center" vertical="center" wrapText="1"/>
    </xf>
    <xf numFmtId="0" fontId="0" fillId="0" borderId="38" xfId="0" applyBorder="1" applyAlignment="1">
      <alignment vertical="center"/>
    </xf>
    <xf numFmtId="0" fontId="0" fillId="0" borderId="1" xfId="0" quotePrefix="1" applyBorder="1" applyAlignment="1">
      <alignment horizontal="center" vertical="center"/>
    </xf>
    <xf numFmtId="0" fontId="0" fillId="0" borderId="7" xfId="0" applyBorder="1" applyAlignment="1">
      <alignment horizontal="center" vertical="center" wrapText="1"/>
    </xf>
    <xf numFmtId="0" fontId="0" fillId="0" borderId="11" xfId="0" applyBorder="1" applyAlignment="1">
      <alignment horizontal="center" vertical="center" wrapText="1"/>
    </xf>
    <xf numFmtId="0" fontId="0" fillId="0" borderId="37" xfId="0" applyBorder="1" applyAlignment="1"/>
    <xf numFmtId="0" fontId="0" fillId="0" borderId="0" xfId="0" applyFill="1" applyAlignment="1"/>
    <xf numFmtId="0" fontId="0" fillId="0" borderId="0" xfId="0" applyFill="1" applyAlignment="1">
      <alignment vertical="center"/>
    </xf>
    <xf numFmtId="0" fontId="9" fillId="0" borderId="42" xfId="0" applyFont="1" applyBorder="1" applyAlignment="1">
      <alignment horizontal="center" vertical="center"/>
    </xf>
    <xf numFmtId="0" fontId="3" fillId="0" borderId="5" xfId="0" applyFont="1" applyBorder="1" applyAlignment="1"/>
    <xf numFmtId="0" fontId="3" fillId="0" borderId="6" xfId="0" applyFont="1" applyBorder="1" applyAlignment="1"/>
    <xf numFmtId="0" fontId="0" fillId="0" borderId="0" xfId="0" applyBorder="1" applyAlignment="1">
      <alignment horizontal="center"/>
    </xf>
    <xf numFmtId="0" fontId="0" fillId="0" borderId="0" xfId="0" applyAlignment="1">
      <alignment horizont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7" xfId="0" applyBorder="1" applyAlignment="1">
      <alignment horizontal="center" vertical="center"/>
    </xf>
    <xf numFmtId="0" fontId="0" fillId="0" borderId="0" xfId="0"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wrapText="1"/>
    </xf>
    <xf numFmtId="1" fontId="0" fillId="0" borderId="1" xfId="0" applyNumberFormat="1" applyBorder="1" applyAlignment="1">
      <alignment horizontal="center" vertical="center"/>
    </xf>
    <xf numFmtId="0" fontId="0" fillId="0" borderId="0" xfId="0" applyBorder="1" applyAlignment="1"/>
    <xf numFmtId="0" fontId="0" fillId="0" borderId="5" xfId="0" applyBorder="1" applyAlignment="1">
      <alignment horizontal="center" vertical="center"/>
    </xf>
    <xf numFmtId="0" fontId="0" fillId="2" borderId="0" xfId="0" applyFill="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2" fontId="3" fillId="0" borderId="7" xfId="0" applyNumberFormat="1" applyFont="1" applyBorder="1" applyAlignment="1">
      <alignment horizontal="center"/>
    </xf>
    <xf numFmtId="2" fontId="3" fillId="2" borderId="7" xfId="0" applyNumberFormat="1" applyFont="1" applyFill="1" applyBorder="1" applyAlignment="1">
      <alignment horizontal="center"/>
    </xf>
    <xf numFmtId="2" fontId="0" fillId="2" borderId="7" xfId="0" applyNumberFormat="1" applyFill="1" applyBorder="1" applyAlignment="1">
      <alignment horizontal="center" vertical="center"/>
    </xf>
    <xf numFmtId="16" fontId="0" fillId="0" borderId="0" xfId="0" quotePrefix="1" applyNumberFormat="1" applyAlignment="1">
      <alignment horizontal="center" vertical="center"/>
    </xf>
    <xf numFmtId="0" fontId="0" fillId="13" borderId="0" xfId="0" applyFill="1" applyAlignment="1">
      <alignment horizontal="center" vertical="center"/>
    </xf>
    <xf numFmtId="0" fontId="0" fillId="11" borderId="0" xfId="0" applyFill="1" applyAlignment="1">
      <alignment horizontal="center" vertical="center"/>
    </xf>
    <xf numFmtId="0" fontId="0" fillId="0" borderId="0" xfId="0" applyFill="1" applyAlignment="1">
      <alignment horizontal="center" vertical="center"/>
    </xf>
    <xf numFmtId="0" fontId="0" fillId="14" borderId="0" xfId="0" applyFill="1" applyAlignment="1">
      <alignment horizontal="center" vertical="center"/>
    </xf>
    <xf numFmtId="0" fontId="0" fillId="12" borderId="0" xfId="0" applyFill="1" applyAlignment="1">
      <alignment horizontal="center" vertical="center"/>
    </xf>
    <xf numFmtId="0" fontId="0" fillId="7" borderId="0" xfId="0" applyFill="1" applyAlignment="1">
      <alignment horizontal="center" vertical="center"/>
    </xf>
    <xf numFmtId="0" fontId="0" fillId="6" borderId="0" xfId="0" applyFill="1" applyAlignment="1">
      <alignment horizontal="center" vertical="center"/>
    </xf>
    <xf numFmtId="0" fontId="24" fillId="0" borderId="0" xfId="0" applyFont="1" applyAlignment="1">
      <alignment horizontal="center" vertical="center"/>
    </xf>
    <xf numFmtId="0" fontId="0" fillId="7" borderId="0" xfId="0" applyFill="1"/>
    <xf numFmtId="16" fontId="0" fillId="7" borderId="0" xfId="0" quotePrefix="1" applyNumberFormat="1" applyFill="1" applyAlignment="1">
      <alignment horizontal="center" vertical="center"/>
    </xf>
    <xf numFmtId="0" fontId="24" fillId="7" borderId="0" xfId="0" applyFont="1" applyFill="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2" fontId="0" fillId="0" borderId="13"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7" xfId="0" applyFont="1" applyBorder="1" applyAlignment="1">
      <alignment horizontal="center" vertical="center"/>
    </xf>
    <xf numFmtId="2" fontId="0" fillId="0" borderId="4" xfId="0" applyNumberFormat="1" applyFont="1" applyFill="1" applyBorder="1" applyAlignment="1">
      <alignment horizontal="center" vertical="center" wrapText="1"/>
    </xf>
    <xf numFmtId="2" fontId="0" fillId="0" borderId="3" xfId="0" applyNumberFormat="1" applyFont="1" applyFill="1" applyBorder="1" applyAlignment="1">
      <alignment horizontal="center" vertical="center" wrapText="1"/>
    </xf>
    <xf numFmtId="2" fontId="0" fillId="0" borderId="7" xfId="0" applyNumberFormat="1" applyFont="1" applyFill="1" applyBorder="1" applyAlignment="1">
      <alignment horizontal="center" vertical="center" wrapText="1"/>
    </xf>
    <xf numFmtId="0" fontId="0" fillId="0" borderId="6" xfId="0" applyBorder="1" applyAlignment="1">
      <alignment vertical="center"/>
    </xf>
    <xf numFmtId="0" fontId="0" fillId="0" borderId="2" xfId="0" applyBorder="1" applyAlignment="1">
      <alignment vertical="center"/>
    </xf>
    <xf numFmtId="0" fontId="0" fillId="0" borderId="5" xfId="0" applyBorder="1" applyAlignment="1">
      <alignment vertical="center"/>
    </xf>
    <xf numFmtId="0" fontId="0" fillId="0" borderId="12" xfId="0" applyBorder="1"/>
    <xf numFmtId="0" fontId="0" fillId="0" borderId="13" xfId="0" applyBorder="1"/>
    <xf numFmtId="0" fontId="0" fillId="0" borderId="13" xfId="0" applyBorder="1" applyAlignment="1">
      <alignment horizontal="center" vertical="center"/>
    </xf>
    <xf numFmtId="0" fontId="0" fillId="0" borderId="15" xfId="0" applyBorder="1"/>
    <xf numFmtId="0" fontId="0" fillId="0" borderId="11" xfId="0" applyBorder="1"/>
    <xf numFmtId="0" fontId="0" fillId="0" borderId="14" xfId="0" applyBorder="1"/>
    <xf numFmtId="0" fontId="0" fillId="0" borderId="0" xfId="0"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25" fillId="7" borderId="0" xfId="0" applyFont="1" applyFill="1" applyAlignment="1">
      <alignment horizontal="center" vertical="center"/>
    </xf>
    <xf numFmtId="0" fontId="25" fillId="2" borderId="0" xfId="0" applyFont="1" applyFill="1" applyAlignment="1">
      <alignment horizontal="center" vertical="center"/>
    </xf>
    <xf numFmtId="0" fontId="0" fillId="0" borderId="0" xfId="0" applyFill="1"/>
    <xf numFmtId="0" fontId="6" fillId="0" borderId="0" xfId="0" applyFont="1" applyAlignment="1">
      <alignment horizontal="center" vertical="center"/>
    </xf>
    <xf numFmtId="0" fontId="0" fillId="0" borderId="0" xfId="0" applyFont="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2" borderId="0" xfId="0" applyFill="1"/>
    <xf numFmtId="0" fontId="0" fillId="2" borderId="0" xfId="0" applyFill="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2" borderId="0" xfId="0" applyFill="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2" xfId="0" applyFill="1" applyBorder="1" applyAlignment="1">
      <alignment horizontal="center" vertical="center" wrapText="1"/>
    </xf>
    <xf numFmtId="0" fontId="9" fillId="0" borderId="0" xfId="0" applyFont="1" applyAlignment="1">
      <alignment horizontal="center" vertical="center" wrapText="1"/>
    </xf>
    <xf numFmtId="0" fontId="0" fillId="0" borderId="4" xfId="0" applyBorder="1" applyAlignment="1">
      <alignment horizontal="center" vertical="center" wrapText="1"/>
    </xf>
    <xf numFmtId="0" fontId="9" fillId="0" borderId="4" xfId="0" applyFont="1" applyBorder="1" applyAlignment="1">
      <alignment horizontal="center" vertical="center" wrapText="1"/>
    </xf>
    <xf numFmtId="2" fontId="0" fillId="0" borderId="1" xfId="0" applyNumberFormat="1" applyFill="1" applyBorder="1" applyAlignment="1">
      <alignment horizontal="center" vertical="center"/>
    </xf>
    <xf numFmtId="2" fontId="0" fillId="0" borderId="1" xfId="0" applyNumberFormat="1" applyBorder="1"/>
    <xf numFmtId="0" fontId="0" fillId="0" borderId="7" xfId="0" applyFill="1" applyBorder="1" applyAlignment="1">
      <alignment horizontal="center" vertical="center"/>
    </xf>
    <xf numFmtId="2" fontId="0" fillId="0" borderId="7" xfId="0" applyNumberFormat="1" applyFill="1" applyBorder="1" applyAlignment="1">
      <alignment horizontal="center" vertical="center"/>
    </xf>
    <xf numFmtId="0" fontId="0" fillId="8" borderId="7" xfId="0" applyFill="1" applyBorder="1" applyAlignment="1">
      <alignment horizontal="center" vertical="center"/>
    </xf>
    <xf numFmtId="2" fontId="0" fillId="8" borderId="7" xfId="0" applyNumberFormat="1" applyFill="1" applyBorder="1" applyAlignment="1">
      <alignment horizontal="center" vertical="center"/>
    </xf>
    <xf numFmtId="2" fontId="0" fillId="0" borderId="11" xfId="0" applyNumberFormat="1" applyFill="1" applyBorder="1" applyAlignment="1">
      <alignment horizontal="center" vertical="center"/>
    </xf>
    <xf numFmtId="0" fontId="0" fillId="0" borderId="61" xfId="0" applyBorder="1" applyAlignment="1">
      <alignment horizontal="center" vertical="center" wrapText="1"/>
    </xf>
    <xf numFmtId="0" fontId="0" fillId="0" borderId="0" xfId="0" applyFill="1" applyAlignment="1">
      <alignment horizontal="center" vertical="center" wrapText="1"/>
    </xf>
    <xf numFmtId="16" fontId="0" fillId="0" borderId="0" xfId="0" quotePrefix="1" applyNumberFormat="1" applyFill="1" applyAlignment="1">
      <alignment horizontal="center" vertical="center"/>
    </xf>
    <xf numFmtId="0" fontId="25" fillId="0" borderId="0" xfId="0" applyFont="1" applyFill="1" applyAlignment="1">
      <alignment horizontal="center" vertic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7"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11" xfId="0" applyBorder="1" applyAlignment="1">
      <alignment horizontal="center" vertical="center"/>
    </xf>
    <xf numFmtId="0" fontId="0" fillId="0" borderId="0" xfId="0" applyAlignment="1">
      <alignment horizontal="center" vertical="center" wrapText="1"/>
    </xf>
    <xf numFmtId="0" fontId="11" fillId="8" borderId="1" xfId="0" applyFont="1" applyFill="1" applyBorder="1" applyAlignment="1">
      <alignment horizontal="center" vertical="center"/>
    </xf>
    <xf numFmtId="2" fontId="11" fillId="8" borderId="1" xfId="0" applyNumberFormat="1" applyFont="1" applyFill="1" applyBorder="1" applyAlignment="1">
      <alignment horizontal="center" vertical="center"/>
    </xf>
    <xf numFmtId="2" fontId="0" fillId="0" borderId="45" xfId="0" applyNumberFormat="1" applyFill="1" applyBorder="1" applyAlignment="1">
      <alignment horizontal="center" vertical="center"/>
    </xf>
    <xf numFmtId="0" fontId="0" fillId="0" borderId="0" xfId="0" applyFill="1" applyBorder="1" applyAlignment="1">
      <alignment horizontal="center" vertical="center"/>
    </xf>
    <xf numFmtId="0" fontId="0" fillId="0" borderId="11" xfId="0" quotePrefix="1" applyBorder="1" applyAlignment="1">
      <alignment horizontal="center" vertical="center" wrapText="1"/>
    </xf>
    <xf numFmtId="2" fontId="0" fillId="0" borderId="16" xfId="0" applyNumberFormat="1" applyBorder="1" applyAlignment="1">
      <alignment horizontal="center" vertical="center" wrapText="1"/>
    </xf>
    <xf numFmtId="2" fontId="0" fillId="0" borderId="0" xfId="0" applyNumberFormat="1" applyBorder="1"/>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wrapText="1"/>
    </xf>
    <xf numFmtId="0" fontId="0" fillId="8" borderId="1" xfId="0" applyFill="1" applyBorder="1" applyAlignment="1">
      <alignment horizontal="center" vertical="center"/>
    </xf>
    <xf numFmtId="0" fontId="0" fillId="8" borderId="5" xfId="0" applyFill="1" applyBorder="1" applyAlignment="1">
      <alignment horizontal="center" vertical="center"/>
    </xf>
    <xf numFmtId="0" fontId="0" fillId="3" borderId="9" xfId="0" applyFill="1" applyBorder="1" applyAlignment="1">
      <alignment horizontal="center" vertical="center" wrapText="1"/>
    </xf>
    <xf numFmtId="0" fontId="0" fillId="3" borderId="0" xfId="0" applyFill="1" applyBorder="1" applyAlignment="1">
      <alignment horizontal="center" vertical="center" wrapTex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3" borderId="27" xfId="0" applyFill="1" applyBorder="1" applyAlignment="1">
      <alignment horizontal="center" vertical="center"/>
    </xf>
    <xf numFmtId="0" fontId="0" fillId="3" borderId="28" xfId="0" applyFill="1" applyBorder="1" applyAlignment="1">
      <alignment horizontal="center" vertical="center"/>
    </xf>
    <xf numFmtId="0" fontId="0" fillId="0" borderId="37" xfId="0" applyBorder="1" applyAlignment="1">
      <alignment horizontal="center" vertical="center"/>
    </xf>
    <xf numFmtId="0" fontId="0" fillId="3" borderId="58" xfId="0" applyFill="1" applyBorder="1" applyAlignment="1">
      <alignment horizontal="center" vertical="center"/>
    </xf>
    <xf numFmtId="0" fontId="0" fillId="3" borderId="37" xfId="0" applyFill="1" applyBorder="1" applyAlignment="1">
      <alignment horizontal="center" vertical="center"/>
    </xf>
    <xf numFmtId="0" fontId="0" fillId="6" borderId="1" xfId="0" applyFill="1" applyBorder="1" applyAlignment="1">
      <alignment horizontal="center" vertical="center"/>
    </xf>
    <xf numFmtId="0" fontId="0" fillId="2" borderId="10"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3" borderId="9" xfId="0" applyFill="1" applyBorder="1" applyAlignment="1">
      <alignment horizontal="center" vertical="center"/>
    </xf>
    <xf numFmtId="0" fontId="0" fillId="3" borderId="0" xfId="0" applyFill="1" applyBorder="1" applyAlignment="1">
      <alignment horizontal="center" vertical="center"/>
    </xf>
    <xf numFmtId="0" fontId="0" fillId="4" borderId="1" xfId="0" applyFill="1" applyBorder="1" applyAlignment="1">
      <alignment horizontal="center" vertical="center" wrapText="1"/>
    </xf>
    <xf numFmtId="0" fontId="0" fillId="5" borderId="10" xfId="0" applyFill="1" applyBorder="1" applyAlignment="1">
      <alignment horizontal="center" vertical="center"/>
    </xf>
    <xf numFmtId="0" fontId="0" fillId="5" borderId="14"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49" xfId="0" applyFill="1" applyBorder="1" applyAlignment="1">
      <alignment horizontal="center" vertical="center"/>
    </xf>
    <xf numFmtId="0" fontId="0" fillId="0" borderId="0" xfId="0" applyAlignment="1">
      <alignment horizont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2" borderId="9" xfId="0" applyFill="1" applyBorder="1" applyAlignment="1">
      <alignment horizontal="center" vertical="center"/>
    </xf>
    <xf numFmtId="0" fontId="0" fillId="2" borderId="0" xfId="0" applyFill="1" applyBorder="1" applyAlignment="1">
      <alignment horizontal="center" vertical="center"/>
    </xf>
    <xf numFmtId="0" fontId="0" fillId="0" borderId="14" xfId="0"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2" xfId="0" applyFon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xf>
    <xf numFmtId="0" fontId="0" fillId="0" borderId="0" xfId="0" applyAlignment="1">
      <alignment horizontal="center" vertical="center"/>
    </xf>
    <xf numFmtId="0" fontId="0" fillId="0" borderId="17" xfId="0" applyBorder="1" applyAlignment="1">
      <alignment horizontal="center" vertical="center"/>
    </xf>
    <xf numFmtId="0" fontId="0" fillId="0" borderId="17" xfId="0" applyBorder="1" applyAlignment="1">
      <alignment horizontal="center" vertical="center" wrapText="1"/>
    </xf>
    <xf numFmtId="0" fontId="0" fillId="0" borderId="38" xfId="0" applyBorder="1" applyAlignment="1">
      <alignment horizontal="center" vertical="center" wrapText="1"/>
    </xf>
    <xf numFmtId="0" fontId="0" fillId="0" borderId="17" xfId="0" quotePrefix="1" applyBorder="1" applyAlignment="1">
      <alignment horizontal="center" vertical="center"/>
    </xf>
    <xf numFmtId="0" fontId="0" fillId="10" borderId="0" xfId="0" applyFill="1" applyAlignment="1">
      <alignment horizontal="center"/>
    </xf>
    <xf numFmtId="0" fontId="0" fillId="0" borderId="37" xfId="0" applyBorder="1" applyAlignment="1">
      <alignment horizontal="center"/>
    </xf>
    <xf numFmtId="0" fontId="0" fillId="2" borderId="0" xfId="0" applyFill="1" applyAlignment="1">
      <alignment horizontal="center" vertical="center"/>
    </xf>
    <xf numFmtId="0" fontId="0" fillId="0" borderId="0" xfId="0" applyBorder="1" applyAlignment="1">
      <alignment horizontal="center" vertic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2" xfId="0" applyFont="1" applyBorder="1" applyAlignment="1">
      <alignment horizontal="center"/>
    </xf>
    <xf numFmtId="0" fontId="0" fillId="0" borderId="4" xfId="0" applyBorder="1" applyAlignment="1">
      <alignment horizontal="center" vertical="center"/>
    </xf>
    <xf numFmtId="0" fontId="0" fillId="0" borderId="7" xfId="0" applyBorder="1" applyAlignment="1">
      <alignment horizontal="center" vertical="center"/>
    </xf>
    <xf numFmtId="16" fontId="0" fillId="0" borderId="4" xfId="0" quotePrefix="1" applyNumberFormat="1" applyBorder="1" applyAlignment="1">
      <alignment horizontal="center" vertical="center"/>
    </xf>
    <xf numFmtId="16" fontId="0" fillId="0" borderId="7" xfId="0" quotePrefix="1" applyNumberForma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2" xfId="0" applyFont="1" applyBorder="1" applyAlignment="1">
      <alignment horizontal="center"/>
    </xf>
    <xf numFmtId="0" fontId="0" fillId="8" borderId="6" xfId="0" applyFill="1" applyBorder="1" applyAlignment="1">
      <alignment horizontal="center" vertical="center"/>
    </xf>
    <xf numFmtId="0" fontId="0" fillId="8" borderId="2" xfId="0" applyFill="1" applyBorder="1" applyAlignment="1">
      <alignment horizontal="center" vertical="center"/>
    </xf>
    <xf numFmtId="0" fontId="0" fillId="0" borderId="45" xfId="0" applyBorder="1" applyAlignment="1">
      <alignment horizontal="center"/>
    </xf>
    <xf numFmtId="0" fontId="0" fillId="0" borderId="0" xfId="0" applyBorder="1" applyAlignment="1">
      <alignment horizont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wrapText="1"/>
    </xf>
    <xf numFmtId="0" fontId="0" fillId="0" borderId="8"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9" xfId="0" applyBorder="1" applyAlignment="1">
      <alignment horizontal="left" vertical="center" wrapText="1"/>
    </xf>
    <xf numFmtId="0" fontId="0" fillId="0" borderId="0"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1" fillId="0" borderId="0" xfId="0" applyFont="1" applyAlignment="1">
      <alignment horizontal="center" vertical="center"/>
    </xf>
    <xf numFmtId="0" fontId="3" fillId="9" borderId="54" xfId="0" applyFont="1" applyFill="1" applyBorder="1" applyAlignment="1">
      <alignment horizontal="center"/>
    </xf>
    <xf numFmtId="0" fontId="11" fillId="0" borderId="9" xfId="0" applyFont="1" applyBorder="1" applyAlignment="1">
      <alignment horizontal="center"/>
    </xf>
    <xf numFmtId="0" fontId="11" fillId="0" borderId="0" xfId="0" applyFont="1" applyBorder="1" applyAlignment="1">
      <alignment horizontal="center"/>
    </xf>
    <xf numFmtId="0" fontId="0" fillId="0" borderId="8" xfId="0" applyBorder="1" applyAlignment="1">
      <alignment horizontal="center" vertical="center"/>
    </xf>
    <xf numFmtId="0" fontId="0" fillId="0" borderId="11" xfId="0"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0" fillId="0" borderId="0" xfId="0" applyFill="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2" xfId="0" applyBorder="1" applyAlignment="1">
      <alignment horizontal="center"/>
    </xf>
    <xf numFmtId="0" fontId="0" fillId="0" borderId="0" xfId="0" applyAlignment="1">
      <alignment horizontal="center" vertical="center" wrapText="1"/>
    </xf>
    <xf numFmtId="0" fontId="0" fillId="0" borderId="25" xfId="0" applyBorder="1" applyAlignment="1">
      <alignment horizontal="center" vertical="center"/>
    </xf>
  </cellXfs>
  <cellStyles count="1">
    <cellStyle name="Normale" xfId="0" builtinId="0"/>
  </cellStyles>
  <dxfs count="25">
    <dxf>
      <fill>
        <patternFill>
          <bgColor rgb="FF00B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zoomScale="90" zoomScaleNormal="90" workbookViewId="0">
      <selection activeCell="J11" sqref="J11"/>
    </sheetView>
  </sheetViews>
  <sheetFormatPr defaultRowHeight="15" x14ac:dyDescent="0.25"/>
  <cols>
    <col min="1" max="2" width="9" customWidth="1"/>
    <col min="3" max="3" width="8.140625" customWidth="1"/>
    <col min="4" max="4" width="9" customWidth="1"/>
    <col min="5" max="5" width="11.140625" customWidth="1"/>
    <col min="6" max="6" width="12.85546875" customWidth="1"/>
    <col min="7" max="7" width="9" customWidth="1"/>
    <col min="8" max="8" width="8.85546875" customWidth="1"/>
    <col min="9" max="9" width="9" customWidth="1"/>
    <col min="10" max="10" width="7.85546875" bestFit="1" customWidth="1"/>
    <col min="11" max="11" width="9" customWidth="1"/>
    <col min="12" max="12" width="11.140625" customWidth="1"/>
    <col min="15" max="15" width="7.5703125" customWidth="1"/>
    <col min="16" max="16" width="10.5703125" customWidth="1"/>
    <col min="17" max="17" width="13.85546875" customWidth="1"/>
    <col min="19" max="19" width="8.5703125" customWidth="1"/>
    <col min="20" max="20" width="7.5703125" customWidth="1"/>
    <col min="21" max="21" width="9" customWidth="1"/>
  </cols>
  <sheetData>
    <row r="1" spans="1:22" ht="28.5" customHeight="1" x14ac:dyDescent="0.25">
      <c r="A1" s="389" t="s">
        <v>93</v>
      </c>
      <c r="B1" s="390"/>
      <c r="C1" s="390"/>
      <c r="D1" s="390"/>
      <c r="E1" s="390"/>
      <c r="F1" s="391" t="s">
        <v>94</v>
      </c>
      <c r="G1" s="391"/>
      <c r="H1" s="391" t="s">
        <v>95</v>
      </c>
      <c r="I1" s="391"/>
      <c r="J1" s="392" t="s">
        <v>96</v>
      </c>
      <c r="K1" s="393"/>
      <c r="L1" s="393"/>
      <c r="M1" s="385" t="s">
        <v>97</v>
      </c>
      <c r="N1" s="385"/>
      <c r="O1" s="386" t="s">
        <v>98</v>
      </c>
      <c r="P1" s="387"/>
      <c r="Q1" s="387"/>
      <c r="R1" s="388"/>
      <c r="S1" s="375" t="s">
        <v>99</v>
      </c>
      <c r="T1" s="376"/>
      <c r="U1" s="376"/>
      <c r="V1" s="376"/>
    </row>
    <row r="2" spans="1:22" ht="45" x14ac:dyDescent="0.25">
      <c r="A2" s="130" t="s">
        <v>100</v>
      </c>
      <c r="B2" s="129" t="s">
        <v>101</v>
      </c>
      <c r="C2" s="130" t="s">
        <v>102</v>
      </c>
      <c r="D2" s="129" t="s">
        <v>101</v>
      </c>
      <c r="E2" s="130" t="s">
        <v>103</v>
      </c>
      <c r="F2" s="130" t="s">
        <v>104</v>
      </c>
      <c r="G2" s="129" t="s">
        <v>101</v>
      </c>
      <c r="H2" s="130" t="s">
        <v>104</v>
      </c>
      <c r="I2" s="129" t="s">
        <v>101</v>
      </c>
      <c r="J2" s="130" t="s">
        <v>105</v>
      </c>
      <c r="K2" s="129" t="s">
        <v>101</v>
      </c>
      <c r="L2" s="130" t="s">
        <v>106</v>
      </c>
      <c r="M2" s="130" t="s">
        <v>107</v>
      </c>
      <c r="N2" s="129" t="s">
        <v>101</v>
      </c>
      <c r="O2" s="130" t="s">
        <v>108</v>
      </c>
      <c r="P2" s="80" t="s">
        <v>109</v>
      </c>
      <c r="Q2" s="129" t="s">
        <v>101</v>
      </c>
      <c r="R2" s="130" t="s">
        <v>140</v>
      </c>
      <c r="S2" s="130" t="s">
        <v>110</v>
      </c>
      <c r="T2" s="130" t="s">
        <v>111</v>
      </c>
      <c r="U2" s="130" t="s">
        <v>101</v>
      </c>
      <c r="V2" s="130" t="s">
        <v>112</v>
      </c>
    </row>
    <row r="3" spans="1:22" ht="30" x14ac:dyDescent="0.25">
      <c r="A3" s="129">
        <v>0.18</v>
      </c>
      <c r="B3" s="81" t="str">
        <f>IF(A3&gt;=0.12,"VERIFICA","NON VERIFICA")</f>
        <v>VERIFICA</v>
      </c>
      <c r="C3" s="129">
        <v>0.25</v>
      </c>
      <c r="D3" s="81" t="str">
        <f>IF(C3&gt;0.52,"NON VERIFICA","VERIFICA")</f>
        <v>VERIFICA</v>
      </c>
      <c r="E3" s="129">
        <v>3</v>
      </c>
      <c r="F3" s="129">
        <v>0.04</v>
      </c>
      <c r="G3" s="81" t="str">
        <f>IF(F3&gt;=0.04,"VERIFICA","NON VERIFICA")</f>
        <v>VERIFICA</v>
      </c>
      <c r="H3" s="129">
        <v>0.04</v>
      </c>
      <c r="I3" s="81" t="str">
        <f>IF(H3&gt;=0.04,"VERIFICA","NON VERIFICA")</f>
        <v>VERIFICA</v>
      </c>
      <c r="J3" s="129">
        <v>0.08</v>
      </c>
      <c r="K3" s="81" t="str">
        <f>IF(AND(J3&gt;=0.08,J3&gt;=M3/8),"VERIFICA","NON VERIFICA")</f>
        <v>VERIFICA</v>
      </c>
      <c r="L3" s="82">
        <v>3</v>
      </c>
      <c r="M3" s="129">
        <f>J3+C3</f>
        <v>0.33</v>
      </c>
      <c r="N3" s="81" t="str">
        <f>IF(M3&lt;=15*F3,"VERIFICA","NON VERIFICA")</f>
        <v>VERIFICA</v>
      </c>
      <c r="O3" s="129">
        <f>F3+A3</f>
        <v>0.22</v>
      </c>
      <c r="P3" s="25" t="s">
        <v>113</v>
      </c>
      <c r="Q3" s="81" t="str">
        <f>IF(AND(P3="con travi emergenti",O3&gt;=R3/25),"VERIFICA",IF(AND(P3="con travi a spessore",O3&gt;=R3/20),"VERIFICA","NON VERIFICA"))</f>
        <v>VERIFICA</v>
      </c>
      <c r="R3" s="129">
        <v>5.3</v>
      </c>
      <c r="S3" s="129">
        <v>0.65</v>
      </c>
      <c r="T3" s="129">
        <f>A3+H3</f>
        <v>0.22</v>
      </c>
      <c r="U3" s="81" t="str">
        <f>IF(AND(V3="Ringhiera",T3&gt;=S3/8),"VERIFICA",IF(AND(V3="Muretto",T3&gt;=S3/6),"VERIFICA","NON VERIFICA"))</f>
        <v>VERIFICA</v>
      </c>
      <c r="V3" s="129" t="s">
        <v>114</v>
      </c>
    </row>
    <row r="5" spans="1:22" x14ac:dyDescent="0.25">
      <c r="A5" s="373" t="s">
        <v>115</v>
      </c>
      <c r="B5" s="373"/>
      <c r="C5" s="373"/>
      <c r="D5" s="373"/>
      <c r="E5" s="374"/>
      <c r="F5" s="373" t="s">
        <v>116</v>
      </c>
      <c r="G5" s="373"/>
      <c r="H5" s="373"/>
      <c r="I5" s="373"/>
      <c r="J5" s="373"/>
      <c r="K5" s="373" t="s">
        <v>117</v>
      </c>
      <c r="L5" s="373"/>
      <c r="M5" s="373"/>
      <c r="N5" s="373"/>
      <c r="O5" s="374"/>
      <c r="P5" s="373" t="s">
        <v>118</v>
      </c>
      <c r="Q5" s="373"/>
      <c r="R5" s="373"/>
      <c r="S5" s="373"/>
      <c r="T5" s="373"/>
    </row>
    <row r="6" spans="1:22" ht="47.25" x14ac:dyDescent="0.25">
      <c r="A6" s="129" t="s">
        <v>119</v>
      </c>
      <c r="B6" s="130" t="s">
        <v>120</v>
      </c>
      <c r="C6" s="130" t="s">
        <v>121</v>
      </c>
      <c r="D6" s="83" t="s">
        <v>277</v>
      </c>
      <c r="E6" s="125" t="s">
        <v>291</v>
      </c>
      <c r="F6" s="129" t="s">
        <v>119</v>
      </c>
      <c r="G6" s="130" t="s">
        <v>122</v>
      </c>
      <c r="H6" s="130" t="s">
        <v>121</v>
      </c>
      <c r="I6" s="83" t="s">
        <v>277</v>
      </c>
      <c r="J6" s="184" t="s">
        <v>291</v>
      </c>
      <c r="K6" s="129" t="s">
        <v>119</v>
      </c>
      <c r="L6" s="130" t="s">
        <v>120</v>
      </c>
      <c r="M6" s="130" t="s">
        <v>121</v>
      </c>
      <c r="N6" s="83" t="s">
        <v>277</v>
      </c>
      <c r="O6" s="184" t="s">
        <v>291</v>
      </c>
      <c r="P6" s="129" t="s">
        <v>119</v>
      </c>
      <c r="Q6" s="130" t="s">
        <v>123</v>
      </c>
      <c r="R6" s="130" t="s">
        <v>121</v>
      </c>
      <c r="S6" s="83" t="s">
        <v>277</v>
      </c>
      <c r="T6" s="189" t="s">
        <v>291</v>
      </c>
    </row>
    <row r="7" spans="1:22" x14ac:dyDescent="0.25">
      <c r="A7" s="129" t="s">
        <v>124</v>
      </c>
      <c r="B7" s="129">
        <f>F3</f>
        <v>0.04</v>
      </c>
      <c r="C7" s="129">
        <v>1</v>
      </c>
      <c r="D7" s="129">
        <v>25</v>
      </c>
      <c r="E7" s="124">
        <f>D7*C7*B7</f>
        <v>1</v>
      </c>
      <c r="F7" s="129" t="s">
        <v>125</v>
      </c>
      <c r="G7" s="129">
        <v>0.04</v>
      </c>
      <c r="H7" s="129">
        <v>1</v>
      </c>
      <c r="I7" s="129">
        <v>5</v>
      </c>
      <c r="J7" s="129">
        <f t="shared" ref="J7:J9" si="0">I7*H7*G7</f>
        <v>0.2</v>
      </c>
      <c r="K7" s="129" t="s">
        <v>124</v>
      </c>
      <c r="L7" s="129">
        <f>H3</f>
        <v>0.04</v>
      </c>
      <c r="M7" s="129">
        <v>1</v>
      </c>
      <c r="N7" s="129">
        <v>25</v>
      </c>
      <c r="O7" s="124">
        <f>N7*M7*L7</f>
        <v>1</v>
      </c>
      <c r="P7" s="129" t="s">
        <v>125</v>
      </c>
      <c r="Q7" s="129">
        <v>0.04</v>
      </c>
      <c r="R7" s="129">
        <v>1</v>
      </c>
      <c r="S7" s="129">
        <v>5</v>
      </c>
      <c r="T7" s="129">
        <f>S7*R7*Q7</f>
        <v>0.2</v>
      </c>
    </row>
    <row r="8" spans="1:22" x14ac:dyDescent="0.25">
      <c r="A8" s="129" t="s">
        <v>126</v>
      </c>
      <c r="B8" s="129">
        <f>A3</f>
        <v>0.18</v>
      </c>
      <c r="C8" s="129">
        <f>E3*C3</f>
        <v>0.75</v>
      </c>
      <c r="D8" s="129">
        <v>8</v>
      </c>
      <c r="E8" s="124">
        <f>D8*C8*B8</f>
        <v>1.08</v>
      </c>
      <c r="F8" s="129" t="s">
        <v>127</v>
      </c>
      <c r="G8" s="129">
        <v>0.02</v>
      </c>
      <c r="H8" s="129">
        <v>1</v>
      </c>
      <c r="I8" s="129">
        <v>18</v>
      </c>
      <c r="J8" s="129">
        <f t="shared" si="0"/>
        <v>0.36</v>
      </c>
      <c r="K8" s="129" t="s">
        <v>126</v>
      </c>
      <c r="L8" s="129">
        <f>A3</f>
        <v>0.18</v>
      </c>
      <c r="M8" s="129">
        <f>2*C3</f>
        <v>0.5</v>
      </c>
      <c r="N8" s="129">
        <v>8</v>
      </c>
      <c r="O8" s="124">
        <f>N8*M8*L8</f>
        <v>0.72</v>
      </c>
      <c r="P8" s="129" t="s">
        <v>127</v>
      </c>
      <c r="Q8" s="129">
        <v>0.02</v>
      </c>
      <c r="R8" s="129">
        <v>1</v>
      </c>
      <c r="S8" s="129">
        <v>18</v>
      </c>
      <c r="T8" s="129">
        <f>S8*R8*Q8</f>
        <v>0.36</v>
      </c>
    </row>
    <row r="9" spans="1:22" x14ac:dyDescent="0.25">
      <c r="A9" s="129" t="s">
        <v>128</v>
      </c>
      <c r="B9" s="129">
        <f>A3</f>
        <v>0.18</v>
      </c>
      <c r="C9" s="129">
        <f>L3*J3</f>
        <v>0.24</v>
      </c>
      <c r="D9" s="129">
        <v>25</v>
      </c>
      <c r="E9" s="124">
        <f>D9*C9*B9</f>
        <v>1.08</v>
      </c>
      <c r="F9" s="129" t="s">
        <v>129</v>
      </c>
      <c r="G9" s="129">
        <v>0.02</v>
      </c>
      <c r="H9" s="129">
        <v>1</v>
      </c>
      <c r="I9" s="129">
        <v>20</v>
      </c>
      <c r="J9" s="129">
        <f t="shared" si="0"/>
        <v>0.4</v>
      </c>
      <c r="K9" s="129" t="s">
        <v>128</v>
      </c>
      <c r="L9" s="129">
        <f>A3</f>
        <v>0.18</v>
      </c>
      <c r="M9" s="129">
        <f>2*J3</f>
        <v>0.16</v>
      </c>
      <c r="N9" s="129">
        <v>25</v>
      </c>
      <c r="O9" s="124">
        <f>N9*M9*L9</f>
        <v>0.72</v>
      </c>
      <c r="P9" s="129" t="s">
        <v>129</v>
      </c>
      <c r="Q9" s="129">
        <v>0.02</v>
      </c>
      <c r="R9" s="129">
        <v>1</v>
      </c>
      <c r="S9" s="129">
        <v>20</v>
      </c>
      <c r="T9" s="129">
        <f>S9*R9*Q9</f>
        <v>0.4</v>
      </c>
    </row>
    <row r="10" spans="1:22" x14ac:dyDescent="0.25">
      <c r="A10" s="129"/>
      <c r="B10" s="129"/>
      <c r="C10" s="129"/>
      <c r="D10" s="84"/>
      <c r="E10" s="84"/>
      <c r="F10" s="130" t="s">
        <v>131</v>
      </c>
      <c r="G10" s="129">
        <v>0.05</v>
      </c>
      <c r="H10" s="129">
        <v>1</v>
      </c>
      <c r="I10" s="129">
        <v>0.3</v>
      </c>
      <c r="J10" s="129">
        <f>G10*H10*I10</f>
        <v>1.4999999999999999E-2</v>
      </c>
      <c r="K10" s="129"/>
      <c r="L10" s="129"/>
      <c r="M10" s="129"/>
      <c r="N10" s="84"/>
      <c r="O10" s="84"/>
      <c r="P10" s="130" t="s">
        <v>131</v>
      </c>
      <c r="Q10" s="129">
        <v>0.05</v>
      </c>
      <c r="R10" s="129">
        <v>1</v>
      </c>
      <c r="S10" s="129">
        <v>0.3</v>
      </c>
      <c r="T10" s="129">
        <f>S10*R10*Q10</f>
        <v>1.4999999999999999E-2</v>
      </c>
    </row>
    <row r="11" spans="1:22" x14ac:dyDescent="0.25">
      <c r="A11" s="84"/>
      <c r="B11" s="84"/>
      <c r="C11" s="84"/>
      <c r="D11" s="84"/>
      <c r="E11" s="84"/>
      <c r="G11" s="128"/>
      <c r="H11" s="128"/>
      <c r="I11" s="122" t="s">
        <v>133</v>
      </c>
      <c r="J11" s="122">
        <f>J7+J8+J9+J10</f>
        <v>0.97500000000000009</v>
      </c>
      <c r="K11" s="84"/>
      <c r="L11" s="84"/>
      <c r="M11" s="84"/>
      <c r="N11" s="84"/>
      <c r="O11" s="84"/>
      <c r="P11" s="130"/>
      <c r="Q11" s="129"/>
      <c r="R11" s="129"/>
      <c r="S11" s="84"/>
      <c r="T11" s="84"/>
    </row>
    <row r="12" spans="1:22" x14ac:dyDescent="0.25">
      <c r="D12" s="122" t="s">
        <v>133</v>
      </c>
      <c r="E12" s="122">
        <f>E7+E8+E9</f>
        <v>3.16</v>
      </c>
      <c r="N12" s="122" t="s">
        <v>133</v>
      </c>
      <c r="O12" s="122">
        <f>O7+O8+O9</f>
        <v>2.44</v>
      </c>
      <c r="S12" s="122" t="s">
        <v>133</v>
      </c>
      <c r="T12" s="122">
        <f>T7+T8+T9+T10</f>
        <v>0.97500000000000009</v>
      </c>
    </row>
    <row r="13" spans="1:22" x14ac:dyDescent="0.25">
      <c r="G13" s="231"/>
      <c r="H13" s="231"/>
    </row>
    <row r="16" spans="1:22" x14ac:dyDescent="0.25">
      <c r="G16" s="128"/>
      <c r="H16" s="128"/>
    </row>
    <row r="18" spans="1:21" x14ac:dyDescent="0.25">
      <c r="A18" s="394" t="s">
        <v>162</v>
      </c>
      <c r="B18" s="395"/>
      <c r="C18" s="395"/>
      <c r="D18" s="395"/>
      <c r="E18" s="395"/>
      <c r="F18" s="395"/>
      <c r="G18" s="202"/>
      <c r="H18" s="202"/>
      <c r="I18" s="202"/>
      <c r="J18" s="203"/>
      <c r="K18" s="107"/>
      <c r="L18" s="396" t="s">
        <v>160</v>
      </c>
      <c r="M18" s="396"/>
      <c r="N18" s="396"/>
      <c r="O18" s="396"/>
      <c r="P18" s="396"/>
      <c r="Q18" s="396"/>
      <c r="R18" s="211"/>
      <c r="S18" s="211"/>
      <c r="T18" s="211"/>
      <c r="U18" s="211"/>
    </row>
    <row r="19" spans="1:21" ht="32.25" x14ac:dyDescent="0.25">
      <c r="A19" s="73" t="s">
        <v>256</v>
      </c>
      <c r="B19" s="85" t="s">
        <v>56</v>
      </c>
      <c r="C19" s="73" t="s">
        <v>257</v>
      </c>
      <c r="D19" s="85" t="s">
        <v>57</v>
      </c>
      <c r="E19" s="73" t="s">
        <v>258</v>
      </c>
      <c r="F19" s="85" t="s">
        <v>58</v>
      </c>
      <c r="G19" s="73"/>
      <c r="H19" s="85"/>
      <c r="I19" s="58"/>
      <c r="J19" s="58"/>
      <c r="L19" s="73" t="s">
        <v>256</v>
      </c>
      <c r="M19" s="85" t="s">
        <v>56</v>
      </c>
      <c r="N19" s="73" t="s">
        <v>257</v>
      </c>
      <c r="O19" s="85" t="s">
        <v>57</v>
      </c>
      <c r="P19" s="73" t="s">
        <v>258</v>
      </c>
      <c r="Q19" s="85" t="s">
        <v>58</v>
      </c>
      <c r="R19" s="73"/>
      <c r="S19" s="85"/>
      <c r="T19" s="58"/>
      <c r="U19" s="58"/>
    </row>
    <row r="20" spans="1:21" x14ac:dyDescent="0.25">
      <c r="A20" s="86">
        <f>E12</f>
        <v>3.16</v>
      </c>
      <c r="B20" s="86">
        <v>1.3</v>
      </c>
      <c r="C20" s="86">
        <f>J11</f>
        <v>0.97500000000000009</v>
      </c>
      <c r="D20" s="86">
        <v>1.5</v>
      </c>
      <c r="E20" s="86">
        <v>0.5</v>
      </c>
      <c r="F20" s="86">
        <v>1.5</v>
      </c>
      <c r="G20" s="86"/>
      <c r="H20" s="86"/>
      <c r="I20" s="86"/>
      <c r="J20" s="86"/>
      <c r="K20" s="52"/>
      <c r="L20" s="101">
        <f>O12</f>
        <v>2.44</v>
      </c>
      <c r="M20" s="101">
        <v>1.3</v>
      </c>
      <c r="N20" s="101">
        <f>T12</f>
        <v>0.97500000000000009</v>
      </c>
      <c r="O20" s="101">
        <v>1.5</v>
      </c>
      <c r="P20" s="101">
        <v>0.5</v>
      </c>
      <c r="Q20" s="101">
        <v>1.5</v>
      </c>
      <c r="R20" s="101"/>
      <c r="S20" s="101"/>
      <c r="T20" s="101"/>
      <c r="U20" s="101"/>
    </row>
    <row r="21" spans="1:21" x14ac:dyDescent="0.25">
      <c r="A21" s="377" t="s">
        <v>138</v>
      </c>
      <c r="B21" s="378"/>
      <c r="C21" s="378"/>
      <c r="D21" s="379"/>
      <c r="E21" s="52"/>
      <c r="F21" s="52"/>
      <c r="G21" s="87"/>
      <c r="H21" s="88"/>
      <c r="I21" s="89"/>
      <c r="J21" s="52"/>
      <c r="K21" s="52"/>
      <c r="L21" s="377" t="s">
        <v>138</v>
      </c>
      <c r="M21" s="378"/>
      <c r="N21" s="378"/>
      <c r="O21" s="379"/>
      <c r="P21" s="121"/>
      <c r="Q21" s="121"/>
      <c r="R21" s="121"/>
      <c r="S21" s="121"/>
      <c r="T21" s="121"/>
      <c r="U21" s="121"/>
    </row>
    <row r="22" spans="1:21" ht="35.25" x14ac:dyDescent="0.25">
      <c r="A22" s="73" t="s">
        <v>259</v>
      </c>
      <c r="B22" s="73" t="s">
        <v>260</v>
      </c>
      <c r="C22" s="73" t="s">
        <v>261</v>
      </c>
      <c r="D22" s="73"/>
      <c r="E22" s="90"/>
      <c r="F22" s="210" t="s">
        <v>33</v>
      </c>
      <c r="G22" s="91"/>
      <c r="H22" s="92"/>
      <c r="I22" s="93"/>
      <c r="J22" s="90"/>
      <c r="K22" s="90"/>
      <c r="L22" s="73" t="s">
        <v>259</v>
      </c>
      <c r="M22" s="73" t="s">
        <v>260</v>
      </c>
      <c r="N22" s="73" t="s">
        <v>261</v>
      </c>
      <c r="O22" s="73"/>
      <c r="P22" s="90"/>
      <c r="Q22" s="210" t="s">
        <v>33</v>
      </c>
      <c r="R22" s="90"/>
      <c r="S22" s="90"/>
      <c r="T22" s="90"/>
      <c r="U22" s="90"/>
    </row>
    <row r="23" spans="1:21" x14ac:dyDescent="0.25">
      <c r="A23" s="86">
        <f>A20*B20</f>
        <v>4.1080000000000005</v>
      </c>
      <c r="B23" s="86">
        <f>C20*D20</f>
        <v>1.4625000000000001</v>
      </c>
      <c r="C23" s="86">
        <f>E20*F20</f>
        <v>0.75</v>
      </c>
      <c r="D23" s="86"/>
      <c r="E23" s="94"/>
      <c r="F23" s="86">
        <f>A23+B23+C23+D23</f>
        <v>6.3205000000000009</v>
      </c>
      <c r="G23" s="95"/>
      <c r="H23" s="95"/>
      <c r="I23" s="95"/>
      <c r="J23" s="52"/>
      <c r="K23" s="52"/>
      <c r="L23" s="101">
        <f>L20*M20</f>
        <v>3.1720000000000002</v>
      </c>
      <c r="M23" s="101">
        <f>N20*O20</f>
        <v>1.4625000000000001</v>
      </c>
      <c r="N23" s="101">
        <f>P20*Q20</f>
        <v>0.75</v>
      </c>
      <c r="O23" s="101"/>
      <c r="P23" s="41"/>
      <c r="Q23" s="101">
        <f>L23+M23+N23+O23</f>
        <v>5.3845000000000001</v>
      </c>
      <c r="R23" s="121"/>
      <c r="S23" s="121"/>
      <c r="T23" s="121"/>
      <c r="U23" s="121"/>
    </row>
    <row r="24" spans="1:21" x14ac:dyDescent="0.25">
      <c r="A24" s="204"/>
      <c r="B24" s="205"/>
      <c r="C24" s="205"/>
      <c r="D24" s="206"/>
      <c r="E24" s="96"/>
      <c r="F24" s="52"/>
      <c r="G24" s="95"/>
      <c r="H24" s="95"/>
      <c r="I24" s="95"/>
      <c r="J24" s="52"/>
      <c r="K24" s="52"/>
      <c r="L24" s="207"/>
      <c r="M24" s="207"/>
      <c r="N24" s="207"/>
      <c r="O24" s="207"/>
      <c r="Q24" s="121"/>
      <c r="R24" s="121"/>
      <c r="S24" s="121"/>
      <c r="T24" s="121"/>
      <c r="U24" s="121"/>
    </row>
    <row r="25" spans="1:21" x14ac:dyDescent="0.25">
      <c r="A25" s="380" t="s">
        <v>159</v>
      </c>
      <c r="B25" s="381"/>
      <c r="C25" s="381"/>
      <c r="D25" s="381"/>
      <c r="E25" s="381"/>
      <c r="F25" s="381"/>
      <c r="G25" s="203"/>
      <c r="H25" s="95"/>
      <c r="I25" s="95"/>
      <c r="J25" s="52"/>
      <c r="K25" s="52"/>
      <c r="L25" s="383" t="s">
        <v>161</v>
      </c>
      <c r="M25" s="384"/>
      <c r="N25" s="384"/>
      <c r="O25" s="384"/>
      <c r="P25" s="384"/>
      <c r="Q25" s="384"/>
      <c r="R25" s="208"/>
      <c r="S25" s="107"/>
      <c r="T25" s="121"/>
      <c r="U25" s="121"/>
    </row>
    <row r="26" spans="1:21" ht="32.25" x14ac:dyDescent="0.25">
      <c r="A26" s="73" t="s">
        <v>256</v>
      </c>
      <c r="B26" s="73" t="s">
        <v>257</v>
      </c>
      <c r="C26" s="73" t="s">
        <v>258</v>
      </c>
      <c r="D26" s="58" t="s">
        <v>63</v>
      </c>
      <c r="E26" s="73"/>
      <c r="F26" s="58"/>
      <c r="G26" s="58"/>
      <c r="H26" s="52"/>
      <c r="I26" s="52"/>
      <c r="J26" s="52"/>
      <c r="K26" s="52"/>
      <c r="L26" s="73" t="s">
        <v>256</v>
      </c>
      <c r="M26" s="73" t="s">
        <v>257</v>
      </c>
      <c r="N26" s="73" t="s">
        <v>258</v>
      </c>
      <c r="O26" s="58" t="s">
        <v>63</v>
      </c>
      <c r="P26" s="73"/>
      <c r="Q26" s="58"/>
      <c r="R26" s="58"/>
      <c r="T26" s="121"/>
      <c r="U26" s="121"/>
    </row>
    <row r="27" spans="1:21" x14ac:dyDescent="0.25">
      <c r="A27" s="86">
        <f>E12</f>
        <v>3.16</v>
      </c>
      <c r="B27" s="86">
        <f>J11</f>
        <v>0.97500000000000009</v>
      </c>
      <c r="C27" s="86">
        <f>E20</f>
        <v>0.5</v>
      </c>
      <c r="D27" s="86">
        <v>0.3</v>
      </c>
      <c r="E27" s="86"/>
      <c r="F27" s="86"/>
      <c r="G27" s="52"/>
      <c r="H27" s="107"/>
      <c r="I27" s="107"/>
      <c r="J27" s="108"/>
      <c r="L27" s="101">
        <f>E12</f>
        <v>3.16</v>
      </c>
      <c r="M27" s="101">
        <f>J11</f>
        <v>0.97500000000000009</v>
      </c>
      <c r="N27" s="101">
        <f>P20</f>
        <v>0.5</v>
      </c>
      <c r="O27" s="101">
        <v>0.3</v>
      </c>
      <c r="P27" s="101"/>
      <c r="Q27" s="101"/>
      <c r="R27" s="101"/>
      <c r="S27" s="121"/>
    </row>
    <row r="28" spans="1:21" x14ac:dyDescent="0.25">
      <c r="A28" s="377" t="s">
        <v>138</v>
      </c>
      <c r="B28" s="378"/>
      <c r="C28" s="378"/>
      <c r="D28" s="379"/>
      <c r="E28" s="52"/>
      <c r="F28" s="52"/>
      <c r="G28" s="52"/>
      <c r="L28" s="382" t="s">
        <v>138</v>
      </c>
      <c r="M28" s="382"/>
      <c r="N28" s="382"/>
      <c r="O28" s="382"/>
      <c r="P28" s="121"/>
      <c r="Q28" s="121"/>
      <c r="R28" s="121"/>
      <c r="S28" s="121"/>
    </row>
    <row r="29" spans="1:21" ht="35.25" x14ac:dyDescent="0.25">
      <c r="A29" s="73" t="s">
        <v>259</v>
      </c>
      <c r="B29" s="73" t="s">
        <v>260</v>
      </c>
      <c r="C29" s="73" t="s">
        <v>261</v>
      </c>
      <c r="D29" s="73"/>
      <c r="E29" s="90"/>
      <c r="F29" s="210" t="s">
        <v>33</v>
      </c>
      <c r="G29" s="90"/>
      <c r="H29" s="52"/>
      <c r="I29" s="52"/>
      <c r="J29" s="96"/>
      <c r="K29" s="52"/>
      <c r="L29" s="73" t="s">
        <v>259</v>
      </c>
      <c r="M29" s="73" t="s">
        <v>260</v>
      </c>
      <c r="N29" s="73" t="s">
        <v>261</v>
      </c>
      <c r="O29" s="73"/>
      <c r="P29" s="90"/>
      <c r="Q29" s="210" t="s">
        <v>33</v>
      </c>
      <c r="R29" s="90"/>
      <c r="S29" s="90"/>
    </row>
    <row r="30" spans="1:21" x14ac:dyDescent="0.25">
      <c r="A30" s="86">
        <f>A27</f>
        <v>3.16</v>
      </c>
      <c r="B30" s="86">
        <f>B27</f>
        <v>0.97500000000000009</v>
      </c>
      <c r="C30" s="86">
        <f>C27*D27</f>
        <v>0.15</v>
      </c>
      <c r="D30" s="86"/>
      <c r="E30" s="94"/>
      <c r="F30" s="86">
        <f>A30+B30+C30+D30</f>
        <v>4.2850000000000001</v>
      </c>
      <c r="G30" s="52"/>
      <c r="H30" s="52"/>
      <c r="I30" s="52"/>
      <c r="J30" s="96"/>
      <c r="K30" s="52"/>
      <c r="L30" s="106">
        <f>L27</f>
        <v>3.16</v>
      </c>
      <c r="M30" s="106">
        <f>M27</f>
        <v>0.97500000000000009</v>
      </c>
      <c r="N30" s="106">
        <f>N27*O27</f>
        <v>0.15</v>
      </c>
      <c r="O30" s="106"/>
      <c r="Q30" s="106">
        <f>L30+M30+N30+O30</f>
        <v>4.2850000000000001</v>
      </c>
      <c r="R30" s="107"/>
      <c r="S30" s="107"/>
    </row>
    <row r="31" spans="1:21" x14ac:dyDescent="0.25">
      <c r="A31" s="204"/>
      <c r="B31" s="205"/>
      <c r="C31" s="205"/>
      <c r="D31" s="206"/>
      <c r="E31" s="100"/>
      <c r="F31" s="121"/>
      <c r="G31" s="121"/>
      <c r="H31" s="90"/>
      <c r="I31" s="90"/>
      <c r="J31" s="90"/>
      <c r="K31" s="90"/>
      <c r="L31" s="207"/>
      <c r="M31" s="207"/>
      <c r="N31" s="207"/>
      <c r="O31" s="207"/>
    </row>
    <row r="32" spans="1:21" x14ac:dyDescent="0.25">
      <c r="A32" s="73"/>
      <c r="B32" s="73"/>
      <c r="C32" s="73"/>
      <c r="D32" s="73"/>
      <c r="E32" s="100"/>
      <c r="F32" s="121"/>
      <c r="G32" s="121"/>
      <c r="H32" s="52"/>
      <c r="I32" s="52"/>
      <c r="J32" s="52"/>
      <c r="K32" s="52"/>
      <c r="L32" s="73"/>
      <c r="M32" s="73"/>
      <c r="N32" s="73"/>
      <c r="O32" s="73"/>
    </row>
    <row r="33" spans="1:17" x14ac:dyDescent="0.25">
      <c r="A33" s="12"/>
      <c r="B33" s="12"/>
      <c r="C33" s="12"/>
      <c r="D33" s="12"/>
      <c r="E33" s="12"/>
      <c r="F33" s="12"/>
      <c r="H33" s="52"/>
      <c r="I33" s="52"/>
      <c r="J33" s="52"/>
      <c r="K33" s="52"/>
      <c r="L33" s="12"/>
      <c r="M33" s="12"/>
      <c r="N33" s="12"/>
      <c r="O33" s="12"/>
      <c r="Q33" s="12"/>
    </row>
    <row r="34" spans="1:17" x14ac:dyDescent="0.25">
      <c r="A34" s="73"/>
      <c r="B34" s="73"/>
      <c r="C34" s="73"/>
      <c r="D34" s="73"/>
      <c r="E34" s="52"/>
      <c r="F34" s="52"/>
      <c r="G34" s="52"/>
      <c r="H34" s="52"/>
      <c r="I34" s="52"/>
      <c r="J34" s="52"/>
      <c r="K34" s="52"/>
    </row>
    <row r="35" spans="1:17" x14ac:dyDescent="0.25">
      <c r="A35" s="97"/>
      <c r="B35" s="97"/>
      <c r="C35" s="98"/>
      <c r="D35" s="99"/>
      <c r="E35" s="52"/>
      <c r="F35" s="86"/>
      <c r="G35" s="52"/>
      <c r="H35" s="52"/>
      <c r="I35" s="52"/>
      <c r="J35" s="52"/>
      <c r="K35" s="52"/>
      <c r="L35" s="52"/>
      <c r="M35" s="52"/>
      <c r="N35" s="52"/>
      <c r="O35" s="52"/>
    </row>
    <row r="36" spans="1:17" x14ac:dyDescent="0.25">
      <c r="A36" s="201"/>
      <c r="B36" s="202"/>
      <c r="C36" s="202"/>
      <c r="D36" s="202"/>
      <c r="E36" s="202"/>
      <c r="F36" s="202"/>
      <c r="G36" s="202"/>
      <c r="H36" s="203"/>
      <c r="I36" s="107"/>
      <c r="J36" s="107"/>
      <c r="K36" s="107"/>
      <c r="L36" s="108"/>
      <c r="N36" s="90"/>
      <c r="O36" s="90"/>
    </row>
    <row r="37" spans="1:17" ht="18.75" x14ac:dyDescent="0.25">
      <c r="A37" s="73"/>
      <c r="B37" s="73"/>
      <c r="C37" s="73"/>
      <c r="D37" s="58"/>
      <c r="E37" s="73"/>
      <c r="F37" s="58"/>
      <c r="G37" s="58"/>
      <c r="H37" s="58"/>
      <c r="N37" s="85"/>
      <c r="O37" s="96"/>
    </row>
    <row r="38" spans="1:17" x14ac:dyDescent="0.25">
      <c r="A38" s="86"/>
      <c r="B38" s="86"/>
      <c r="C38" s="86"/>
      <c r="D38" s="86"/>
      <c r="E38" s="86"/>
      <c r="F38" s="86"/>
      <c r="G38" s="86"/>
      <c r="H38" s="86"/>
      <c r="I38" s="52"/>
      <c r="J38" s="52"/>
      <c r="K38" s="52"/>
      <c r="L38" s="96"/>
      <c r="M38" s="96"/>
      <c r="N38" s="52"/>
      <c r="O38" s="96"/>
    </row>
    <row r="39" spans="1:17" x14ac:dyDescent="0.25">
      <c r="A39" s="204"/>
      <c r="B39" s="205"/>
      <c r="C39" s="205"/>
      <c r="D39" s="206"/>
      <c r="E39" s="52"/>
      <c r="F39" s="52"/>
      <c r="G39" s="52"/>
      <c r="H39" s="52"/>
      <c r="I39" s="52"/>
      <c r="J39" s="52"/>
      <c r="K39" s="52"/>
      <c r="L39" s="96"/>
      <c r="M39" s="96"/>
      <c r="N39" s="52"/>
      <c r="O39" s="96"/>
    </row>
    <row r="40" spans="1:17" x14ac:dyDescent="0.25">
      <c r="A40" s="73"/>
      <c r="B40" s="73"/>
      <c r="C40" s="73"/>
      <c r="D40" s="73"/>
      <c r="E40" s="90"/>
      <c r="F40" s="90"/>
      <c r="G40" s="90"/>
      <c r="H40" s="90"/>
      <c r="I40" s="90"/>
      <c r="J40" s="90"/>
      <c r="K40" s="90"/>
      <c r="L40" s="90"/>
      <c r="M40" s="90"/>
      <c r="N40" s="90"/>
      <c r="O40" s="90"/>
    </row>
    <row r="41" spans="1:17" x14ac:dyDescent="0.25">
      <c r="A41" s="86"/>
      <c r="B41" s="86"/>
      <c r="C41" s="86"/>
      <c r="D41" s="86"/>
      <c r="E41" s="94"/>
      <c r="F41" s="86"/>
      <c r="G41" s="52"/>
      <c r="H41" s="52"/>
      <c r="I41" s="52"/>
      <c r="J41" s="52"/>
      <c r="K41" s="52"/>
      <c r="L41" s="52"/>
      <c r="M41" s="52"/>
      <c r="N41" s="52"/>
      <c r="O41" s="52"/>
    </row>
    <row r="42" spans="1:17" x14ac:dyDescent="0.25">
      <c r="A42" s="204"/>
      <c r="B42" s="205"/>
      <c r="C42" s="205"/>
      <c r="D42" s="206"/>
      <c r="E42" s="96"/>
      <c r="F42" s="52"/>
      <c r="G42" s="52"/>
      <c r="H42" s="52"/>
      <c r="I42" s="52"/>
      <c r="J42" s="52"/>
      <c r="K42" s="52"/>
      <c r="L42" s="52"/>
      <c r="M42" s="52"/>
      <c r="N42" s="52"/>
      <c r="O42" s="52"/>
    </row>
    <row r="43" spans="1:17" x14ac:dyDescent="0.25">
      <c r="A43" s="73"/>
      <c r="B43" s="73"/>
      <c r="C43" s="73"/>
      <c r="D43" s="73"/>
      <c r="E43" s="96"/>
      <c r="F43" s="52"/>
      <c r="G43" s="52"/>
      <c r="H43" s="52"/>
      <c r="I43" s="52"/>
      <c r="J43" s="52"/>
      <c r="K43" s="52"/>
      <c r="L43" s="52"/>
      <c r="M43" s="52"/>
      <c r="N43" s="52"/>
      <c r="O43" s="52"/>
    </row>
    <row r="44" spans="1:17" x14ac:dyDescent="0.25">
      <c r="A44" s="86"/>
      <c r="B44" s="86"/>
      <c r="C44" s="86"/>
      <c r="D44" s="86"/>
      <c r="E44" s="86"/>
      <c r="F44" s="86"/>
      <c r="G44" s="52"/>
      <c r="H44" s="52"/>
      <c r="I44" s="52"/>
      <c r="J44" s="52"/>
      <c r="K44" s="52"/>
      <c r="L44" s="52"/>
      <c r="M44" s="52"/>
      <c r="N44" s="52"/>
      <c r="O44" s="52"/>
    </row>
    <row r="45" spans="1:17" x14ac:dyDescent="0.25">
      <c r="H45" s="107"/>
      <c r="I45" s="107"/>
      <c r="J45" s="107"/>
      <c r="K45" s="108"/>
      <c r="M45" s="90"/>
      <c r="N45" s="90"/>
      <c r="O45" s="90"/>
    </row>
    <row r="46" spans="1:17" ht="18.75" x14ac:dyDescent="0.25">
      <c r="M46" s="96"/>
      <c r="N46" s="85"/>
      <c r="O46" s="96"/>
    </row>
    <row r="47" spans="1:17" x14ac:dyDescent="0.25">
      <c r="H47" s="52"/>
      <c r="I47" s="52"/>
      <c r="J47" s="52"/>
      <c r="K47" s="52"/>
      <c r="L47" s="96"/>
      <c r="M47" s="96"/>
      <c r="N47" s="52"/>
      <c r="O47" s="96"/>
    </row>
    <row r="48" spans="1:17" x14ac:dyDescent="0.25">
      <c r="H48" s="52"/>
      <c r="I48" s="52"/>
      <c r="J48" s="52"/>
      <c r="K48" s="52"/>
      <c r="L48" s="96"/>
      <c r="M48" s="96"/>
      <c r="N48" s="52"/>
      <c r="O48" s="96"/>
    </row>
    <row r="49" spans="1:15" x14ac:dyDescent="0.25">
      <c r="H49" s="90"/>
      <c r="I49" s="90"/>
      <c r="J49" s="90"/>
      <c r="K49" s="90"/>
      <c r="L49" s="90"/>
      <c r="M49" s="90"/>
      <c r="N49" s="90"/>
      <c r="O49" s="90"/>
    </row>
    <row r="50" spans="1:15" x14ac:dyDescent="0.25">
      <c r="H50" s="52"/>
      <c r="I50" s="52"/>
      <c r="J50" s="52"/>
      <c r="K50" s="52"/>
      <c r="L50" s="52"/>
      <c r="M50" s="52"/>
      <c r="N50" s="52"/>
      <c r="O50" s="52"/>
    </row>
    <row r="51" spans="1:15" x14ac:dyDescent="0.25">
      <c r="H51" s="121"/>
      <c r="I51" s="121"/>
      <c r="J51" s="121"/>
      <c r="K51" s="121"/>
      <c r="L51" s="121"/>
      <c r="M51" s="121"/>
      <c r="N51" s="121"/>
      <c r="O51" s="121"/>
    </row>
    <row r="52" spans="1:15" x14ac:dyDescent="0.25">
      <c r="H52" s="121"/>
      <c r="I52" s="121"/>
      <c r="J52" s="121"/>
      <c r="K52" s="121"/>
      <c r="L52" s="121"/>
      <c r="M52" s="121"/>
      <c r="N52" s="121"/>
      <c r="O52" s="121"/>
    </row>
    <row r="54" spans="1:15" x14ac:dyDescent="0.25">
      <c r="K54" s="107"/>
      <c r="L54" s="107"/>
      <c r="M54" s="107"/>
      <c r="N54" s="108"/>
    </row>
    <row r="56" spans="1:15" x14ac:dyDescent="0.25">
      <c r="K56" s="121"/>
      <c r="L56" s="121"/>
      <c r="M56" s="121"/>
      <c r="N56" s="121"/>
      <c r="O56" s="102"/>
    </row>
    <row r="57" spans="1:15" x14ac:dyDescent="0.25">
      <c r="K57" s="121"/>
      <c r="L57" s="121"/>
      <c r="M57" s="121"/>
      <c r="N57" s="121"/>
      <c r="O57" s="121"/>
    </row>
    <row r="58" spans="1:15" x14ac:dyDescent="0.25">
      <c r="K58" s="90"/>
      <c r="L58" s="90"/>
      <c r="M58" s="90"/>
      <c r="N58" s="90"/>
      <c r="O58" s="90"/>
    </row>
    <row r="59" spans="1:15" x14ac:dyDescent="0.25">
      <c r="K59" s="121"/>
      <c r="L59" s="121"/>
      <c r="M59" s="121"/>
      <c r="N59" s="121"/>
      <c r="O59" s="102"/>
    </row>
    <row r="60" spans="1:15" x14ac:dyDescent="0.25">
      <c r="K60" s="121"/>
      <c r="L60" s="121"/>
      <c r="M60" s="121"/>
      <c r="N60" s="121"/>
      <c r="O60" s="102"/>
    </row>
    <row r="61" spans="1:15" x14ac:dyDescent="0.25">
      <c r="K61" s="121"/>
      <c r="L61" s="121"/>
      <c r="M61" s="121"/>
      <c r="N61" s="121"/>
      <c r="O61" s="102"/>
    </row>
    <row r="62" spans="1:15" x14ac:dyDescent="0.25">
      <c r="K62" s="121"/>
      <c r="L62" s="121"/>
      <c r="M62" s="121"/>
      <c r="N62" s="121"/>
      <c r="O62" s="102"/>
    </row>
    <row r="63" spans="1:15" x14ac:dyDescent="0.25">
      <c r="A63" s="208"/>
      <c r="B63" s="208"/>
      <c r="C63" s="208"/>
      <c r="D63" s="208"/>
      <c r="E63" s="208"/>
      <c r="F63" s="208"/>
      <c r="G63" s="107"/>
      <c r="H63" s="107"/>
      <c r="I63" s="107"/>
      <c r="J63" s="108"/>
      <c r="L63" s="90"/>
      <c r="M63" s="90"/>
      <c r="N63" s="90"/>
      <c r="O63" s="90"/>
    </row>
    <row r="64" spans="1:15" ht="18.75" x14ac:dyDescent="0.25">
      <c r="A64" s="73"/>
      <c r="B64" s="73"/>
      <c r="C64" s="73"/>
      <c r="D64" s="73"/>
      <c r="E64" s="58"/>
      <c r="F64" s="58"/>
      <c r="N64" s="104"/>
    </row>
    <row r="65" spans="1:15" x14ac:dyDescent="0.25">
      <c r="A65" s="101"/>
      <c r="B65" s="101"/>
      <c r="C65" s="101"/>
      <c r="D65" s="101"/>
      <c r="E65" s="101"/>
      <c r="F65" s="101"/>
      <c r="G65" s="101"/>
      <c r="H65" s="101"/>
      <c r="I65" s="105"/>
      <c r="J65" s="12"/>
      <c r="K65" s="101"/>
      <c r="N65" s="121"/>
    </row>
    <row r="66" spans="1:15" x14ac:dyDescent="0.25">
      <c r="A66" s="209"/>
      <c r="B66" s="209"/>
      <c r="C66" s="209"/>
      <c r="D66" s="209"/>
      <c r="E66" s="121"/>
      <c r="F66" s="121"/>
      <c r="G66" s="121"/>
      <c r="H66" s="121"/>
      <c r="I66" s="121"/>
      <c r="K66" s="121"/>
      <c r="N66" s="121"/>
    </row>
    <row r="67" spans="1:15" x14ac:dyDescent="0.25">
      <c r="A67" s="73"/>
      <c r="B67" s="73"/>
      <c r="C67" s="73"/>
      <c r="D67" s="73"/>
      <c r="E67" s="90"/>
      <c r="F67" s="90"/>
      <c r="G67" s="90"/>
      <c r="H67" s="90"/>
      <c r="I67" s="90"/>
      <c r="J67" s="90"/>
      <c r="K67" s="90"/>
      <c r="L67" s="90"/>
      <c r="M67" s="90"/>
      <c r="N67" s="90"/>
      <c r="O67" s="90"/>
    </row>
    <row r="68" spans="1:15" x14ac:dyDescent="0.25">
      <c r="A68" s="101"/>
      <c r="B68" s="101"/>
      <c r="C68" s="101"/>
      <c r="D68" s="101"/>
      <c r="E68" s="41"/>
      <c r="F68" s="101"/>
      <c r="G68" s="121"/>
      <c r="H68" s="121"/>
      <c r="I68" s="121"/>
      <c r="J68" s="121"/>
      <c r="K68" s="121"/>
      <c r="L68" s="121"/>
      <c r="M68" s="121"/>
      <c r="N68" s="121"/>
      <c r="O68" s="102"/>
    </row>
    <row r="69" spans="1:15" x14ac:dyDescent="0.25">
      <c r="A69" s="207"/>
      <c r="B69" s="207"/>
      <c r="C69" s="207"/>
      <c r="D69" s="207"/>
      <c r="E69" s="121"/>
      <c r="F69" s="121"/>
      <c r="G69" s="121"/>
      <c r="H69" s="121"/>
      <c r="I69" s="121"/>
      <c r="J69" s="121"/>
      <c r="K69" s="121"/>
      <c r="L69" s="121"/>
      <c r="M69" s="121"/>
      <c r="N69" s="121"/>
      <c r="O69" s="102"/>
    </row>
    <row r="70" spans="1:15" x14ac:dyDescent="0.25">
      <c r="A70" s="73"/>
      <c r="B70" s="73"/>
      <c r="C70" s="73"/>
      <c r="D70" s="73"/>
      <c r="E70" s="121"/>
      <c r="F70" s="121"/>
      <c r="G70" s="121"/>
      <c r="H70" s="121"/>
      <c r="I70" s="121"/>
      <c r="J70" s="121"/>
      <c r="K70" s="121"/>
      <c r="L70" s="121"/>
      <c r="M70" s="121"/>
      <c r="N70" s="121"/>
      <c r="O70" s="121"/>
    </row>
    <row r="71" spans="1:15" x14ac:dyDescent="0.25">
      <c r="A71" s="101"/>
      <c r="B71" s="101"/>
      <c r="C71" s="101"/>
      <c r="D71" s="101"/>
      <c r="E71" s="121"/>
      <c r="F71" s="101"/>
      <c r="G71" s="121"/>
      <c r="H71" s="121"/>
      <c r="I71" s="121"/>
      <c r="J71" s="121"/>
      <c r="K71" s="121"/>
      <c r="L71" s="121"/>
      <c r="M71" s="121"/>
      <c r="N71" s="121"/>
      <c r="O71" s="121"/>
    </row>
    <row r="72" spans="1:15" x14ac:dyDescent="0.25">
      <c r="A72" s="208"/>
      <c r="B72" s="208"/>
      <c r="C72" s="208"/>
      <c r="D72" s="208"/>
      <c r="E72" s="208"/>
      <c r="F72" s="208"/>
      <c r="G72" s="208"/>
      <c r="H72" s="208"/>
      <c r="I72" s="107"/>
      <c r="J72" s="107"/>
      <c r="K72" s="107"/>
      <c r="L72" s="108"/>
      <c r="N72" s="90"/>
      <c r="O72" s="90"/>
    </row>
    <row r="73" spans="1:15" ht="18.75" x14ac:dyDescent="0.25">
      <c r="A73" s="73"/>
      <c r="B73" s="73"/>
      <c r="C73" s="73"/>
      <c r="D73" s="58"/>
      <c r="E73" s="73"/>
      <c r="F73" s="58"/>
      <c r="G73" s="58"/>
      <c r="H73" s="58"/>
      <c r="N73" s="104"/>
    </row>
    <row r="74" spans="1:15" x14ac:dyDescent="0.25">
      <c r="A74" s="101"/>
      <c r="B74" s="101"/>
      <c r="C74" s="101"/>
      <c r="D74" s="101"/>
      <c r="E74" s="101"/>
      <c r="F74" s="101"/>
      <c r="G74" s="101"/>
      <c r="H74" s="101"/>
      <c r="I74" s="121"/>
      <c r="J74" s="102"/>
      <c r="K74" s="121"/>
      <c r="N74" s="121"/>
    </row>
    <row r="75" spans="1:15" x14ac:dyDescent="0.25">
      <c r="A75" s="209"/>
      <c r="B75" s="209"/>
      <c r="C75" s="209"/>
      <c r="D75" s="209"/>
      <c r="E75" s="121"/>
      <c r="F75" s="121"/>
      <c r="G75" s="121"/>
      <c r="H75" s="121"/>
      <c r="I75" s="121"/>
      <c r="J75" s="121"/>
      <c r="K75" s="121"/>
      <c r="N75" s="121"/>
    </row>
    <row r="76" spans="1:15" x14ac:dyDescent="0.25">
      <c r="A76" s="73"/>
      <c r="B76" s="73"/>
      <c r="C76" s="73"/>
      <c r="D76" s="73"/>
      <c r="E76" s="90"/>
      <c r="F76" s="90"/>
      <c r="G76" s="90"/>
      <c r="H76" s="90"/>
      <c r="I76" s="90"/>
      <c r="J76" s="90"/>
      <c r="K76" s="90"/>
      <c r="L76" s="90"/>
      <c r="M76" s="90"/>
      <c r="N76" s="90"/>
      <c r="O76" s="90"/>
    </row>
    <row r="77" spans="1:15" x14ac:dyDescent="0.25">
      <c r="A77" s="101"/>
      <c r="B77" s="101"/>
      <c r="C77" s="101"/>
      <c r="D77" s="101"/>
      <c r="E77" s="41"/>
      <c r="F77" s="101"/>
      <c r="G77" s="121"/>
      <c r="H77" s="121"/>
      <c r="I77" s="121"/>
      <c r="J77" s="121"/>
      <c r="K77" s="121"/>
      <c r="L77" s="121"/>
      <c r="M77" s="121"/>
      <c r="N77" s="121"/>
      <c r="O77" s="102"/>
    </row>
    <row r="78" spans="1:15" x14ac:dyDescent="0.25">
      <c r="A78" s="207"/>
      <c r="B78" s="207"/>
      <c r="C78" s="207"/>
      <c r="D78" s="207"/>
      <c r="F78" s="121"/>
      <c r="G78" s="121"/>
      <c r="H78" s="121"/>
      <c r="I78" s="121"/>
      <c r="J78" s="121"/>
      <c r="K78" s="121"/>
      <c r="L78" s="121"/>
      <c r="M78" s="121"/>
      <c r="N78" s="121"/>
      <c r="O78" s="102"/>
    </row>
    <row r="79" spans="1:15" x14ac:dyDescent="0.25">
      <c r="A79" s="73"/>
      <c r="B79" s="73"/>
      <c r="C79" s="73"/>
      <c r="D79" s="73"/>
      <c r="F79" s="121"/>
      <c r="G79" s="121"/>
      <c r="H79" s="121"/>
      <c r="I79" s="121"/>
      <c r="J79" s="121"/>
      <c r="K79" s="121"/>
      <c r="L79" s="121"/>
      <c r="M79" s="121"/>
      <c r="N79" s="121"/>
      <c r="O79" s="102"/>
    </row>
    <row r="80" spans="1:15" x14ac:dyDescent="0.25">
      <c r="A80" s="101"/>
      <c r="B80" s="101"/>
      <c r="C80" s="101"/>
      <c r="D80" s="101"/>
      <c r="E80" s="101"/>
      <c r="F80" s="101"/>
      <c r="G80" s="121"/>
      <c r="H80" s="121"/>
      <c r="I80" s="121"/>
      <c r="J80" s="121"/>
      <c r="K80" s="121"/>
      <c r="L80" s="121"/>
      <c r="M80" s="121"/>
      <c r="N80" s="121"/>
      <c r="O80" s="102"/>
    </row>
    <row r="81" spans="9:15" x14ac:dyDescent="0.25">
      <c r="I81" s="107"/>
      <c r="J81" s="107"/>
      <c r="K81" s="108"/>
      <c r="M81" s="90"/>
      <c r="N81" s="90"/>
      <c r="O81" s="90"/>
    </row>
    <row r="82" spans="9:15" ht="18.75" x14ac:dyDescent="0.25">
      <c r="N82" s="104"/>
    </row>
    <row r="83" spans="9:15" x14ac:dyDescent="0.25">
      <c r="I83" s="121"/>
      <c r="J83" s="102"/>
      <c r="K83" s="121"/>
      <c r="N83" s="121"/>
    </row>
    <row r="84" spans="9:15" x14ac:dyDescent="0.25">
      <c r="I84" s="121"/>
      <c r="J84" s="121"/>
      <c r="K84" s="121"/>
      <c r="N84" s="121"/>
    </row>
    <row r="85" spans="9:15" x14ac:dyDescent="0.25">
      <c r="I85" s="90"/>
      <c r="J85" s="90"/>
      <c r="K85" s="90"/>
      <c r="L85" s="90"/>
      <c r="M85" s="90"/>
      <c r="N85" s="90"/>
      <c r="O85" s="90"/>
    </row>
    <row r="86" spans="9:15" x14ac:dyDescent="0.25">
      <c r="I86" s="107"/>
      <c r="J86" s="107"/>
      <c r="K86" s="107"/>
      <c r="L86" s="107"/>
      <c r="M86" s="107"/>
      <c r="N86" s="107"/>
      <c r="O86" s="108"/>
    </row>
  </sheetData>
  <mergeCells count="19">
    <mergeCell ref="A18:F18"/>
    <mergeCell ref="L18:Q18"/>
    <mergeCell ref="A5:E5"/>
    <mergeCell ref="F5:J5"/>
    <mergeCell ref="K5:O5"/>
    <mergeCell ref="P5:T5"/>
    <mergeCell ref="S1:V1"/>
    <mergeCell ref="A28:D28"/>
    <mergeCell ref="L21:O21"/>
    <mergeCell ref="A25:F25"/>
    <mergeCell ref="L28:O28"/>
    <mergeCell ref="L25:Q25"/>
    <mergeCell ref="A21:D21"/>
    <mergeCell ref="M1:N1"/>
    <mergeCell ref="O1:R1"/>
    <mergeCell ref="A1:E1"/>
    <mergeCell ref="F1:G1"/>
    <mergeCell ref="H1:I1"/>
    <mergeCell ref="J1:L1"/>
  </mergeCells>
  <conditionalFormatting sqref="B3">
    <cfRule type="expression" dxfId="24" priority="8">
      <formula>$B$3="VERIFICA"</formula>
    </cfRule>
  </conditionalFormatting>
  <conditionalFormatting sqref="D3">
    <cfRule type="expression" dxfId="23" priority="7">
      <formula>$D$3="VERIFICA"</formula>
    </cfRule>
  </conditionalFormatting>
  <conditionalFormatting sqref="G3">
    <cfRule type="expression" dxfId="22" priority="6">
      <formula>$G$3="VERIFICA"</formula>
    </cfRule>
  </conditionalFormatting>
  <conditionalFormatting sqref="K3">
    <cfRule type="expression" dxfId="21" priority="5">
      <formula>$K$3="VERIFICA"</formula>
    </cfRule>
  </conditionalFormatting>
  <conditionalFormatting sqref="N3">
    <cfRule type="expression" dxfId="20" priority="4">
      <formula>$N$3="VERIFICA"</formula>
    </cfRule>
  </conditionalFormatting>
  <conditionalFormatting sqref="Q3">
    <cfRule type="expression" dxfId="19" priority="3">
      <formula>$Q$3="VERIFICA"</formula>
    </cfRule>
  </conditionalFormatting>
  <conditionalFormatting sqref="U3">
    <cfRule type="expression" dxfId="18" priority="2">
      <formula>$U$3="VERIFICA"</formula>
    </cfRule>
  </conditionalFormatting>
  <conditionalFormatting sqref="I3">
    <cfRule type="expression" dxfId="17" priority="1">
      <formula>$I$3="VERIFICA"</formula>
    </cfRule>
  </conditionalFormatting>
  <dataValidations disablePrompts="1" count="3">
    <dataValidation type="list" allowBlank="1" showInputMessage="1" showErrorMessage="1" sqref="P3">
      <formula1>Solaio</formula1>
    </dataValidation>
    <dataValidation type="list" allowBlank="1" showInputMessage="1" showErrorMessage="1" sqref="V3">
      <formula1>Balcone</formula1>
    </dataValidation>
    <dataValidation type="list" allowBlank="1" showInputMessage="1" showErrorMessage="1" sqref="E3 L3">
      <formula1>Numero</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zoomScale="90" zoomScaleNormal="90" workbookViewId="0">
      <selection activeCell="G15" sqref="G15"/>
    </sheetView>
  </sheetViews>
  <sheetFormatPr defaultRowHeight="15" x14ac:dyDescent="0.25"/>
  <cols>
    <col min="1" max="2" width="9" bestFit="1" customWidth="1"/>
    <col min="3" max="3" width="8.28515625" bestFit="1" customWidth="1"/>
    <col min="4" max="4" width="9" bestFit="1" customWidth="1"/>
    <col min="5" max="5" width="11.140625" customWidth="1"/>
    <col min="6" max="6" width="14.28515625" customWidth="1"/>
    <col min="7" max="7" width="9" bestFit="1" customWidth="1"/>
    <col min="8" max="8" width="8.85546875" customWidth="1"/>
    <col min="9" max="9" width="9" bestFit="1" customWidth="1"/>
    <col min="10" max="10" width="8.5703125" bestFit="1" customWidth="1"/>
    <col min="11" max="11" width="10" bestFit="1" customWidth="1"/>
    <col min="12" max="12" width="10.5703125" customWidth="1"/>
    <col min="15" max="15" width="8.5703125" bestFit="1" customWidth="1"/>
    <col min="16" max="16" width="12.42578125" customWidth="1"/>
    <col min="17" max="17" width="13.85546875" bestFit="1" customWidth="1"/>
    <col min="19" max="20" width="8.5703125" bestFit="1" customWidth="1"/>
    <col min="21" max="21" width="9" bestFit="1" customWidth="1"/>
    <col min="22" max="22" width="10.7109375" bestFit="1" customWidth="1"/>
  </cols>
  <sheetData>
    <row r="1" spans="1:22" ht="30" customHeight="1" x14ac:dyDescent="0.25">
      <c r="A1" s="389" t="s">
        <v>93</v>
      </c>
      <c r="B1" s="390"/>
      <c r="C1" s="390"/>
      <c r="D1" s="390"/>
      <c r="E1" s="390"/>
      <c r="F1" s="391" t="s">
        <v>94</v>
      </c>
      <c r="G1" s="391"/>
      <c r="H1" s="391" t="s">
        <v>95</v>
      </c>
      <c r="I1" s="391"/>
      <c r="J1" s="392" t="s">
        <v>96</v>
      </c>
      <c r="K1" s="393"/>
      <c r="L1" s="393"/>
      <c r="M1" s="385" t="s">
        <v>97</v>
      </c>
      <c r="N1" s="385"/>
      <c r="O1" s="386" t="s">
        <v>98</v>
      </c>
      <c r="P1" s="387"/>
      <c r="Q1" s="387"/>
      <c r="R1" s="388"/>
      <c r="S1" s="375" t="s">
        <v>99</v>
      </c>
      <c r="T1" s="376"/>
      <c r="U1" s="376"/>
      <c r="V1" s="376"/>
    </row>
    <row r="2" spans="1:22" ht="54.75" customHeight="1" x14ac:dyDescent="0.25">
      <c r="A2" s="75" t="s">
        <v>100</v>
      </c>
      <c r="B2" s="76" t="s">
        <v>101</v>
      </c>
      <c r="C2" s="75" t="s">
        <v>102</v>
      </c>
      <c r="D2" s="76" t="s">
        <v>101</v>
      </c>
      <c r="E2" s="75" t="s">
        <v>103</v>
      </c>
      <c r="F2" s="75" t="s">
        <v>104</v>
      </c>
      <c r="G2" s="76" t="s">
        <v>101</v>
      </c>
      <c r="H2" s="75" t="s">
        <v>104</v>
      </c>
      <c r="I2" s="76" t="s">
        <v>101</v>
      </c>
      <c r="J2" s="75" t="s">
        <v>105</v>
      </c>
      <c r="K2" s="76" t="s">
        <v>101</v>
      </c>
      <c r="L2" s="75" t="s">
        <v>106</v>
      </c>
      <c r="M2" s="75" t="s">
        <v>107</v>
      </c>
      <c r="N2" s="76" t="s">
        <v>101</v>
      </c>
      <c r="O2" s="75" t="s">
        <v>108</v>
      </c>
      <c r="P2" s="80" t="s">
        <v>109</v>
      </c>
      <c r="Q2" s="76" t="s">
        <v>101</v>
      </c>
      <c r="R2" s="75" t="s">
        <v>140</v>
      </c>
      <c r="S2" s="75" t="s">
        <v>110</v>
      </c>
      <c r="T2" s="75" t="s">
        <v>111</v>
      </c>
      <c r="U2" s="75" t="s">
        <v>101</v>
      </c>
      <c r="V2" s="75" t="s">
        <v>112</v>
      </c>
    </row>
    <row r="3" spans="1:22" ht="30" x14ac:dyDescent="0.25">
      <c r="A3" s="76">
        <v>0.2</v>
      </c>
      <c r="B3" s="81" t="str">
        <f>IF(A3&gt;=0.12,"VERIFICA","NON VERIFICA")</f>
        <v>VERIFICA</v>
      </c>
      <c r="C3" s="76">
        <v>0.25</v>
      </c>
      <c r="D3" s="81" t="str">
        <f>IF(C3&gt;0.52,"NON VERIFICA","VERIFICA")</f>
        <v>VERIFICA</v>
      </c>
      <c r="E3" s="76">
        <v>3</v>
      </c>
      <c r="F3" s="76">
        <v>0.04</v>
      </c>
      <c r="G3" s="81" t="str">
        <f>IF(F3&gt;=0.04,"VERIFICA","NON VERIFICA")</f>
        <v>VERIFICA</v>
      </c>
      <c r="H3" s="76">
        <v>0.04</v>
      </c>
      <c r="I3" s="81" t="str">
        <f>IF(H3&gt;=0.04,"VERIFICA","NON VERIFICA")</f>
        <v>VERIFICA</v>
      </c>
      <c r="J3" s="76">
        <v>0.08</v>
      </c>
      <c r="K3" s="81" t="str">
        <f>IF(AND(J3&gt;=0.08,J3&gt;=M3/8),"VERIFICA","NON VERIFICA")</f>
        <v>VERIFICA</v>
      </c>
      <c r="L3" s="82">
        <v>3</v>
      </c>
      <c r="M3" s="76">
        <f>J3+C3</f>
        <v>0.33</v>
      </c>
      <c r="N3" s="81" t="str">
        <f>IF(M3&lt;=15*F3,"VERIFICA","NON VERIFICA")</f>
        <v>VERIFICA</v>
      </c>
      <c r="O3" s="76">
        <f>F3+A3</f>
        <v>0.24000000000000002</v>
      </c>
      <c r="P3" s="25" t="s">
        <v>113</v>
      </c>
      <c r="Q3" s="81" t="str">
        <f>IF(AND(P3="con travi emergenti",O3&gt;=R3/25),"VERIFICA",IF(AND(P3="con travi a spessore",O3&gt;=R3/20),"VERIFICA","NON VERIFICA"))</f>
        <v>VERIFICA</v>
      </c>
      <c r="R3" s="76">
        <v>5.95</v>
      </c>
      <c r="S3" s="76">
        <v>1.75</v>
      </c>
      <c r="T3" s="76">
        <f>A3+H3</f>
        <v>0.24000000000000002</v>
      </c>
      <c r="U3" s="81" t="str">
        <f>IF(AND(V3="Ringhiera",T3&gt;=S3/8),"VERIFICA",IF(AND(V3="Muretto",T3&gt;=S3/6),"VERIFICA","NON VERIFICA"))</f>
        <v>VERIFICA</v>
      </c>
      <c r="V3" s="76" t="s">
        <v>114</v>
      </c>
    </row>
    <row r="5" spans="1:22" x14ac:dyDescent="0.25">
      <c r="A5" s="373" t="s">
        <v>115</v>
      </c>
      <c r="B5" s="373"/>
      <c r="C5" s="373"/>
      <c r="D5" s="373"/>
      <c r="E5" s="374"/>
      <c r="F5" s="373" t="s">
        <v>116</v>
      </c>
      <c r="G5" s="373"/>
      <c r="H5" s="373"/>
      <c r="I5" s="373"/>
      <c r="J5" s="373"/>
      <c r="K5" s="373" t="s">
        <v>117</v>
      </c>
      <c r="L5" s="373"/>
      <c r="M5" s="373"/>
      <c r="N5" s="373"/>
      <c r="O5" s="374"/>
      <c r="P5" s="373" t="s">
        <v>118</v>
      </c>
      <c r="Q5" s="373"/>
      <c r="R5" s="373"/>
      <c r="S5" s="373"/>
      <c r="T5" s="373"/>
    </row>
    <row r="6" spans="1:22" ht="36" x14ac:dyDescent="0.25">
      <c r="A6" s="76" t="s">
        <v>119</v>
      </c>
      <c r="B6" s="75" t="s">
        <v>120</v>
      </c>
      <c r="C6" s="75" t="s">
        <v>121</v>
      </c>
      <c r="D6" s="83" t="s">
        <v>141</v>
      </c>
      <c r="E6" s="228" t="s">
        <v>291</v>
      </c>
      <c r="F6" s="76" t="s">
        <v>119</v>
      </c>
      <c r="G6" s="75" t="s">
        <v>122</v>
      </c>
      <c r="H6" s="75" t="s">
        <v>121</v>
      </c>
      <c r="I6" s="83" t="s">
        <v>141</v>
      </c>
      <c r="J6" s="228" t="s">
        <v>291</v>
      </c>
      <c r="K6" s="76" t="s">
        <v>119</v>
      </c>
      <c r="L6" s="75" t="s">
        <v>120</v>
      </c>
      <c r="M6" s="75" t="s">
        <v>121</v>
      </c>
      <c r="N6" s="83" t="s">
        <v>141</v>
      </c>
      <c r="O6" s="228" t="s">
        <v>291</v>
      </c>
      <c r="P6" s="76" t="s">
        <v>119</v>
      </c>
      <c r="Q6" s="75" t="s">
        <v>123</v>
      </c>
      <c r="R6" s="75" t="s">
        <v>121</v>
      </c>
      <c r="S6" s="83" t="s">
        <v>141</v>
      </c>
      <c r="T6" s="233" t="s">
        <v>291</v>
      </c>
    </row>
    <row r="7" spans="1:22" x14ac:dyDescent="0.25">
      <c r="A7" s="76" t="s">
        <v>124</v>
      </c>
      <c r="B7" s="76">
        <f>F3</f>
        <v>0.04</v>
      </c>
      <c r="C7" s="76">
        <v>1</v>
      </c>
      <c r="D7" s="76">
        <v>25</v>
      </c>
      <c r="E7" s="77">
        <f>D7*C7*B7</f>
        <v>1</v>
      </c>
      <c r="F7" s="76" t="s">
        <v>125</v>
      </c>
      <c r="G7" s="76">
        <v>0.08</v>
      </c>
      <c r="H7" s="76">
        <v>1</v>
      </c>
      <c r="I7" s="76">
        <v>5</v>
      </c>
      <c r="J7" s="76">
        <f t="shared" ref="J7:J11" si="0">I7*H7*G7</f>
        <v>0.4</v>
      </c>
      <c r="K7" s="76" t="s">
        <v>124</v>
      </c>
      <c r="L7" s="76">
        <f>H3</f>
        <v>0.04</v>
      </c>
      <c r="M7" s="76">
        <v>1</v>
      </c>
      <c r="N7" s="76">
        <v>25</v>
      </c>
      <c r="O7" s="77">
        <f>N7*M7*L7</f>
        <v>1</v>
      </c>
      <c r="P7" s="76" t="s">
        <v>125</v>
      </c>
      <c r="Q7" s="76">
        <v>0.04</v>
      </c>
      <c r="R7" s="76">
        <v>1</v>
      </c>
      <c r="S7" s="76">
        <v>5</v>
      </c>
      <c r="T7" s="76">
        <f>S7*R7*Q7</f>
        <v>0.2</v>
      </c>
    </row>
    <row r="8" spans="1:22" x14ac:dyDescent="0.25">
      <c r="A8" s="76" t="s">
        <v>126</v>
      </c>
      <c r="B8" s="76">
        <f>A3</f>
        <v>0.2</v>
      </c>
      <c r="C8" s="76">
        <f>E3*C3</f>
        <v>0.75</v>
      </c>
      <c r="D8" s="76">
        <v>8</v>
      </c>
      <c r="E8" s="77">
        <f>D8*C8*B8</f>
        <v>1.2000000000000002</v>
      </c>
      <c r="F8" s="76" t="s">
        <v>127</v>
      </c>
      <c r="G8" s="76">
        <v>0.02</v>
      </c>
      <c r="H8" s="76">
        <v>1</v>
      </c>
      <c r="I8" s="76">
        <v>18</v>
      </c>
      <c r="J8" s="76">
        <f t="shared" si="0"/>
        <v>0.36</v>
      </c>
      <c r="K8" s="76" t="s">
        <v>126</v>
      </c>
      <c r="L8" s="76">
        <f>A3</f>
        <v>0.2</v>
      </c>
      <c r="M8" s="76">
        <f>2*C3</f>
        <v>0.5</v>
      </c>
      <c r="N8" s="76">
        <v>8</v>
      </c>
      <c r="O8" s="77">
        <f>N8*M8*L8</f>
        <v>0.8</v>
      </c>
      <c r="P8" s="76" t="s">
        <v>127</v>
      </c>
      <c r="Q8" s="76">
        <v>0.02</v>
      </c>
      <c r="R8" s="76">
        <v>1</v>
      </c>
      <c r="S8" s="76">
        <v>18</v>
      </c>
      <c r="T8" s="76">
        <f>S8*R8*Q8</f>
        <v>0.36</v>
      </c>
    </row>
    <row r="9" spans="1:22" x14ac:dyDescent="0.25">
      <c r="A9" s="76" t="s">
        <v>128</v>
      </c>
      <c r="B9" s="76">
        <f>A3</f>
        <v>0.2</v>
      </c>
      <c r="C9" s="76">
        <f>L3*J3</f>
        <v>0.24</v>
      </c>
      <c r="D9" s="76">
        <v>25</v>
      </c>
      <c r="E9" s="77">
        <f>D9*C9*B9</f>
        <v>1.2000000000000002</v>
      </c>
      <c r="F9" s="76" t="s">
        <v>129</v>
      </c>
      <c r="G9" s="76">
        <v>0.02</v>
      </c>
      <c r="H9" s="76">
        <v>1</v>
      </c>
      <c r="I9" s="76">
        <v>20</v>
      </c>
      <c r="J9" s="76">
        <f t="shared" si="0"/>
        <v>0.4</v>
      </c>
      <c r="K9" s="76" t="s">
        <v>128</v>
      </c>
      <c r="L9" s="76">
        <f>A3</f>
        <v>0.2</v>
      </c>
      <c r="M9" s="76">
        <f>2*J3</f>
        <v>0.16</v>
      </c>
      <c r="N9" s="76">
        <v>25</v>
      </c>
      <c r="O9" s="77">
        <f>N9*M9*L9</f>
        <v>0.8</v>
      </c>
      <c r="P9" s="76" t="s">
        <v>129</v>
      </c>
      <c r="Q9" s="76">
        <v>0.02</v>
      </c>
      <c r="R9" s="76">
        <v>1</v>
      </c>
      <c r="S9" s="76">
        <v>20</v>
      </c>
      <c r="T9" s="76">
        <f>S9*R9*Q9</f>
        <v>0.4</v>
      </c>
    </row>
    <row r="10" spans="1:22" ht="30" x14ac:dyDescent="0.25">
      <c r="A10" s="76"/>
      <c r="B10" s="76"/>
      <c r="C10" s="76"/>
      <c r="D10" s="84"/>
      <c r="E10" s="84"/>
      <c r="F10" s="75" t="s">
        <v>130</v>
      </c>
      <c r="G10" s="76">
        <f>'Dimens. Verifica'!$F$8</f>
        <v>3.3</v>
      </c>
      <c r="H10" s="76">
        <v>0.08</v>
      </c>
      <c r="I10" s="76">
        <v>8</v>
      </c>
      <c r="J10" s="20">
        <f t="shared" si="0"/>
        <v>2.1120000000000001</v>
      </c>
      <c r="K10" s="76"/>
      <c r="L10" s="76"/>
      <c r="M10" s="76"/>
      <c r="N10" s="84"/>
      <c r="O10" s="84"/>
      <c r="P10" s="75" t="s">
        <v>131</v>
      </c>
      <c r="Q10" s="76">
        <v>0.05</v>
      </c>
      <c r="R10" s="76">
        <v>1</v>
      </c>
      <c r="S10" s="76">
        <v>0.3</v>
      </c>
      <c r="T10" s="76">
        <f>S10*R10*Q10</f>
        <v>1.4999999999999999E-2</v>
      </c>
    </row>
    <row r="11" spans="1:22" ht="30" x14ac:dyDescent="0.25">
      <c r="A11" s="84"/>
      <c r="B11" s="84"/>
      <c r="C11" s="84"/>
      <c r="D11" s="84"/>
      <c r="E11" s="84"/>
      <c r="F11" s="75" t="s">
        <v>132</v>
      </c>
      <c r="G11" s="76">
        <f>'Dimens. Verifica'!$F$8</f>
        <v>3.3</v>
      </c>
      <c r="H11" s="76">
        <v>0.02</v>
      </c>
      <c r="I11" s="76">
        <v>18</v>
      </c>
      <c r="J11" s="20">
        <f t="shared" si="0"/>
        <v>1.1879999999999999</v>
      </c>
      <c r="K11" s="84"/>
      <c r="L11" s="84"/>
      <c r="M11" s="84"/>
      <c r="N11" s="84"/>
      <c r="O11" s="84"/>
      <c r="P11" s="75"/>
      <c r="Q11" s="76"/>
      <c r="R11" s="76"/>
      <c r="S11" s="84"/>
      <c r="T11" s="84"/>
    </row>
    <row r="12" spans="1:22" ht="25.5" customHeight="1" x14ac:dyDescent="0.25">
      <c r="D12" s="362" t="s">
        <v>133</v>
      </c>
      <c r="E12" s="362">
        <f>E7+E8+E9</f>
        <v>3.4000000000000004</v>
      </c>
      <c r="I12" s="362" t="s">
        <v>133</v>
      </c>
      <c r="J12" s="363">
        <f>IF(AND(J10+J11&gt;3,J10+J11&lt;=4),J7+J8+J9+1.6,"NTC08 parag. tramezzi")</f>
        <v>2.7600000000000002</v>
      </c>
      <c r="N12" s="362" t="s">
        <v>133</v>
      </c>
      <c r="O12" s="362">
        <f>O7+O8+O9</f>
        <v>2.6</v>
      </c>
      <c r="S12" s="362" t="s">
        <v>133</v>
      </c>
      <c r="T12" s="362">
        <f>T7+T8+T9+T10</f>
        <v>0.97500000000000009</v>
      </c>
    </row>
    <row r="13" spans="1:22" ht="30" x14ac:dyDescent="0.25">
      <c r="F13" s="75" t="s">
        <v>134</v>
      </c>
      <c r="G13" s="76">
        <v>2.6</v>
      </c>
      <c r="H13" s="76">
        <v>0.2</v>
      </c>
      <c r="I13" s="76">
        <v>8</v>
      </c>
      <c r="J13" s="20">
        <f>I13*H13*G13</f>
        <v>4.16</v>
      </c>
    </row>
    <row r="14" spans="1:22" ht="30" x14ac:dyDescent="0.25">
      <c r="F14" s="75" t="s">
        <v>135</v>
      </c>
      <c r="G14" s="76">
        <v>3.3</v>
      </c>
      <c r="H14" s="76">
        <v>0.03</v>
      </c>
      <c r="I14" s="76">
        <v>18</v>
      </c>
      <c r="J14" s="20">
        <f>I14*H14*G14</f>
        <v>1.782</v>
      </c>
    </row>
    <row r="15" spans="1:22" x14ac:dyDescent="0.25">
      <c r="G15" s="78"/>
      <c r="H15" s="78"/>
      <c r="J15" s="345"/>
    </row>
    <row r="17" spans="1:16" x14ac:dyDescent="0.25">
      <c r="A17" s="394" t="s">
        <v>162</v>
      </c>
      <c r="B17" s="395"/>
      <c r="C17" s="395"/>
      <c r="D17" s="395"/>
      <c r="E17" s="395"/>
      <c r="F17" s="395"/>
      <c r="G17" s="202"/>
      <c r="H17" s="396" t="s">
        <v>163</v>
      </c>
      <c r="I17" s="396"/>
      <c r="J17" s="396"/>
      <c r="K17" s="396"/>
      <c r="L17" s="396"/>
      <c r="M17" s="396"/>
      <c r="N17" s="211"/>
      <c r="O17" s="211"/>
      <c r="P17" s="211"/>
    </row>
    <row r="18" spans="1:16" ht="32.25" x14ac:dyDescent="0.25">
      <c r="A18" s="73" t="s">
        <v>449</v>
      </c>
      <c r="B18" s="85" t="s">
        <v>56</v>
      </c>
      <c r="C18" s="73" t="s">
        <v>450</v>
      </c>
      <c r="D18" s="85" t="s">
        <v>57</v>
      </c>
      <c r="E18" s="73" t="s">
        <v>451</v>
      </c>
      <c r="F18" s="85" t="s">
        <v>58</v>
      </c>
      <c r="G18" s="73"/>
      <c r="H18" s="73" t="s">
        <v>449</v>
      </c>
      <c r="I18" s="85" t="s">
        <v>56</v>
      </c>
      <c r="J18" s="73" t="s">
        <v>450</v>
      </c>
      <c r="K18" s="85" t="s">
        <v>57</v>
      </c>
      <c r="L18" s="73" t="s">
        <v>451</v>
      </c>
      <c r="M18" s="85" t="s">
        <v>58</v>
      </c>
      <c r="N18" s="73"/>
      <c r="O18" s="85"/>
      <c r="P18" s="58"/>
    </row>
    <row r="19" spans="1:16" x14ac:dyDescent="0.25">
      <c r="A19" s="86">
        <f>E12</f>
        <v>3.4000000000000004</v>
      </c>
      <c r="B19" s="86">
        <v>1.3</v>
      </c>
      <c r="C19" s="86">
        <f>J12</f>
        <v>2.7600000000000002</v>
      </c>
      <c r="D19" s="86">
        <v>1.5</v>
      </c>
      <c r="E19" s="86">
        <v>2</v>
      </c>
      <c r="F19" s="86">
        <v>1.5</v>
      </c>
      <c r="G19" s="86"/>
      <c r="H19" s="101">
        <f>O12</f>
        <v>2.6</v>
      </c>
      <c r="I19" s="101">
        <v>1.3</v>
      </c>
      <c r="J19" s="101">
        <f>T12</f>
        <v>0.97500000000000009</v>
      </c>
      <c r="K19" s="101">
        <v>1.5</v>
      </c>
      <c r="L19" s="101">
        <v>4</v>
      </c>
      <c r="M19" s="101">
        <v>1.5</v>
      </c>
      <c r="N19" s="101"/>
      <c r="O19" s="101"/>
      <c r="P19" s="101"/>
    </row>
    <row r="20" spans="1:16" x14ac:dyDescent="0.25">
      <c r="A20" s="377" t="s">
        <v>138</v>
      </c>
      <c r="B20" s="378"/>
      <c r="C20" s="378"/>
      <c r="D20" s="379"/>
      <c r="E20" s="52"/>
      <c r="F20" s="52"/>
      <c r="G20" s="87"/>
      <c r="H20" s="377" t="s">
        <v>138</v>
      </c>
      <c r="I20" s="378"/>
      <c r="J20" s="378"/>
      <c r="K20" s="379"/>
      <c r="L20" s="74"/>
      <c r="M20" s="74"/>
      <c r="N20" s="74"/>
      <c r="O20" s="74"/>
      <c r="P20" s="74"/>
    </row>
    <row r="21" spans="1:16" ht="35.25" x14ac:dyDescent="0.25">
      <c r="A21" s="73" t="s">
        <v>452</v>
      </c>
      <c r="B21" s="73" t="s">
        <v>453</v>
      </c>
      <c r="C21" s="73" t="s">
        <v>454</v>
      </c>
      <c r="D21" s="73"/>
      <c r="E21" s="90"/>
      <c r="F21" s="210" t="s">
        <v>33</v>
      </c>
      <c r="G21" s="91"/>
      <c r="H21" s="73" t="s">
        <v>452</v>
      </c>
      <c r="I21" s="73" t="s">
        <v>453</v>
      </c>
      <c r="J21" s="73" t="s">
        <v>454</v>
      </c>
      <c r="K21" s="73"/>
      <c r="L21" s="90"/>
      <c r="M21" s="210" t="s">
        <v>33</v>
      </c>
      <c r="N21" s="90"/>
      <c r="O21" s="90"/>
      <c r="P21" s="90"/>
    </row>
    <row r="22" spans="1:16" x14ac:dyDescent="0.25">
      <c r="A22" s="86">
        <f>A19*B19</f>
        <v>4.4200000000000008</v>
      </c>
      <c r="B22" s="86">
        <f>C19*D19</f>
        <v>4.1400000000000006</v>
      </c>
      <c r="C22" s="86">
        <f>E19*F19</f>
        <v>3</v>
      </c>
      <c r="D22" s="86"/>
      <c r="E22" s="94"/>
      <c r="F22" s="86">
        <f>A22+B22+C22</f>
        <v>11.560000000000002</v>
      </c>
      <c r="G22" s="95"/>
      <c r="H22" s="101">
        <f>H19*I19</f>
        <v>3.3800000000000003</v>
      </c>
      <c r="I22" s="101">
        <f>J19*K19</f>
        <v>1.4625000000000001</v>
      </c>
      <c r="J22" s="101">
        <f>L19*M19</f>
        <v>6</v>
      </c>
      <c r="K22" s="101"/>
      <c r="L22" s="41"/>
      <c r="M22" s="101">
        <f>H22+I22+J22</f>
        <v>10.842500000000001</v>
      </c>
      <c r="N22" s="74"/>
      <c r="O22" s="74"/>
      <c r="P22" s="74"/>
    </row>
    <row r="23" spans="1:16" x14ac:dyDescent="0.25">
      <c r="A23" s="204"/>
      <c r="B23" s="205"/>
      <c r="C23" s="205"/>
      <c r="D23" s="206"/>
      <c r="E23" s="96"/>
      <c r="F23" s="52"/>
      <c r="G23" s="95"/>
      <c r="H23" s="95"/>
      <c r="I23" s="95"/>
      <c r="J23" s="52"/>
      <c r="K23" s="52"/>
      <c r="L23" s="52"/>
      <c r="M23" s="52"/>
      <c r="N23" s="52"/>
      <c r="O23" s="52"/>
    </row>
    <row r="24" spans="1:16" x14ac:dyDescent="0.25">
      <c r="A24" s="380" t="s">
        <v>159</v>
      </c>
      <c r="B24" s="381"/>
      <c r="C24" s="381"/>
      <c r="D24" s="381"/>
      <c r="E24" s="381"/>
      <c r="F24" s="381"/>
      <c r="G24" s="203"/>
      <c r="H24" s="380" t="s">
        <v>161</v>
      </c>
      <c r="I24" s="381"/>
      <c r="J24" s="381"/>
      <c r="K24" s="381"/>
      <c r="L24" s="381"/>
      <c r="M24" s="381"/>
      <c r="N24" s="208"/>
      <c r="O24" s="52"/>
    </row>
    <row r="25" spans="1:16" ht="32.25" x14ac:dyDescent="0.25">
      <c r="A25" s="73" t="s">
        <v>449</v>
      </c>
      <c r="B25" s="73" t="s">
        <v>450</v>
      </c>
      <c r="C25" s="73" t="s">
        <v>451</v>
      </c>
      <c r="D25" s="58" t="s">
        <v>63</v>
      </c>
      <c r="E25" s="73"/>
      <c r="F25" s="58"/>
      <c r="G25" s="58"/>
      <c r="H25" s="73" t="s">
        <v>449</v>
      </c>
      <c r="I25" s="73" t="s">
        <v>450</v>
      </c>
      <c r="J25" s="73" t="s">
        <v>451</v>
      </c>
      <c r="K25" s="58" t="s">
        <v>63</v>
      </c>
      <c r="L25" s="73"/>
      <c r="M25" s="58"/>
      <c r="N25" s="58"/>
      <c r="O25" s="52"/>
    </row>
    <row r="26" spans="1:16" x14ac:dyDescent="0.25">
      <c r="A26" s="86">
        <f>E12</f>
        <v>3.4000000000000004</v>
      </c>
      <c r="B26" s="86">
        <f>J12</f>
        <v>2.7600000000000002</v>
      </c>
      <c r="C26" s="86">
        <f>E19</f>
        <v>2</v>
      </c>
      <c r="D26" s="86">
        <v>0.3</v>
      </c>
      <c r="E26" s="86"/>
      <c r="F26" s="86"/>
      <c r="G26" s="52"/>
      <c r="H26" s="101">
        <f>O12</f>
        <v>2.6</v>
      </c>
      <c r="I26" s="101">
        <f>T12</f>
        <v>0.97500000000000009</v>
      </c>
      <c r="J26" s="101">
        <f>L19</f>
        <v>4</v>
      </c>
      <c r="K26" s="101">
        <v>0.3</v>
      </c>
      <c r="L26" s="101"/>
      <c r="M26" s="101"/>
      <c r="N26" s="101"/>
      <c r="O26" s="90"/>
    </row>
    <row r="27" spans="1:16" x14ac:dyDescent="0.25">
      <c r="A27" s="377" t="s">
        <v>138</v>
      </c>
      <c r="B27" s="378"/>
      <c r="C27" s="378"/>
      <c r="D27" s="379"/>
      <c r="E27" s="52"/>
      <c r="F27" s="52"/>
      <c r="G27" s="52"/>
      <c r="H27" s="382" t="s">
        <v>138</v>
      </c>
      <c r="I27" s="382"/>
      <c r="J27" s="382"/>
      <c r="K27" s="382"/>
      <c r="L27" s="74"/>
      <c r="M27" s="74"/>
      <c r="N27" s="74"/>
      <c r="O27" s="96"/>
    </row>
    <row r="28" spans="1:16" ht="35.25" x14ac:dyDescent="0.25">
      <c r="A28" s="73" t="s">
        <v>452</v>
      </c>
      <c r="B28" s="73" t="s">
        <v>453</v>
      </c>
      <c r="C28" s="73" t="s">
        <v>454</v>
      </c>
      <c r="D28" s="73"/>
      <c r="E28" s="90"/>
      <c r="F28" s="210" t="s">
        <v>33</v>
      </c>
      <c r="G28" s="90"/>
      <c r="H28" s="73" t="s">
        <v>452</v>
      </c>
      <c r="I28" s="73" t="s">
        <v>453</v>
      </c>
      <c r="J28" s="73" t="s">
        <v>454</v>
      </c>
      <c r="K28" s="73"/>
      <c r="L28" s="90"/>
      <c r="M28" s="210" t="s">
        <v>33</v>
      </c>
      <c r="N28" s="90"/>
      <c r="O28" s="96"/>
    </row>
    <row r="29" spans="1:16" x14ac:dyDescent="0.25">
      <c r="A29" s="86">
        <f>A26</f>
        <v>3.4000000000000004</v>
      </c>
      <c r="B29" s="86">
        <f>B26</f>
        <v>2.7600000000000002</v>
      </c>
      <c r="C29" s="86">
        <f>C26*D26</f>
        <v>0.6</v>
      </c>
      <c r="D29" s="86"/>
      <c r="E29" s="94"/>
      <c r="F29" s="86">
        <f>A29+B29+C29</f>
        <v>6.76</v>
      </c>
      <c r="G29" s="52"/>
      <c r="H29" s="106">
        <f>H26</f>
        <v>2.6</v>
      </c>
      <c r="I29" s="106">
        <f>I26</f>
        <v>0.97500000000000009</v>
      </c>
      <c r="J29" s="106">
        <f>J26*K26</f>
        <v>1.2</v>
      </c>
      <c r="K29" s="106"/>
      <c r="M29" s="106">
        <f>H29+I29+J29</f>
        <v>4.7750000000000004</v>
      </c>
      <c r="N29" s="107"/>
      <c r="O29" s="96"/>
    </row>
    <row r="30" spans="1:16" x14ac:dyDescent="0.25">
      <c r="A30" s="73"/>
      <c r="B30" s="73"/>
      <c r="C30" s="73"/>
      <c r="D30" s="73"/>
      <c r="E30" s="90"/>
      <c r="F30" s="90"/>
      <c r="G30" s="90"/>
      <c r="H30" s="90"/>
      <c r="I30" s="90"/>
      <c r="J30" s="90"/>
      <c r="K30" s="90"/>
      <c r="L30" s="90"/>
      <c r="M30" s="90"/>
      <c r="N30" s="90"/>
      <c r="O30" s="90"/>
    </row>
    <row r="31" spans="1:16" x14ac:dyDescent="0.25">
      <c r="A31" s="86"/>
      <c r="B31" s="86"/>
      <c r="C31" s="86"/>
      <c r="D31" s="86"/>
      <c r="E31" s="94"/>
      <c r="F31" s="86"/>
      <c r="G31" s="52"/>
      <c r="H31" s="52"/>
      <c r="I31" s="52"/>
      <c r="J31" s="52"/>
      <c r="K31" s="52"/>
      <c r="L31" s="52"/>
      <c r="M31" s="52"/>
      <c r="N31" s="52"/>
      <c r="O31" s="52"/>
    </row>
    <row r="32" spans="1:16" x14ac:dyDescent="0.25">
      <c r="A32" s="204"/>
      <c r="B32" s="205"/>
      <c r="C32" s="205"/>
      <c r="D32" s="206"/>
      <c r="E32" s="52"/>
      <c r="F32" s="52"/>
      <c r="G32" s="52"/>
      <c r="H32" s="52"/>
      <c r="I32" s="52"/>
      <c r="J32" s="52"/>
      <c r="K32" s="52"/>
      <c r="L32" s="52"/>
      <c r="M32" s="52"/>
      <c r="N32" s="52"/>
      <c r="O32" s="52"/>
    </row>
    <row r="33" spans="1:15" x14ac:dyDescent="0.25">
      <c r="A33" s="73"/>
      <c r="B33" s="73"/>
      <c r="C33" s="73"/>
      <c r="D33" s="73"/>
      <c r="E33" s="52"/>
      <c r="F33" s="52"/>
      <c r="G33" s="52"/>
      <c r="H33" s="52"/>
      <c r="I33" s="52"/>
      <c r="J33" s="52"/>
      <c r="K33" s="52"/>
      <c r="L33" s="52"/>
      <c r="M33" s="52"/>
      <c r="N33" s="52"/>
      <c r="O33" s="52"/>
    </row>
    <row r="34" spans="1:15" x14ac:dyDescent="0.25">
      <c r="A34" s="97"/>
      <c r="B34" s="97"/>
      <c r="C34" s="98"/>
      <c r="D34" s="99"/>
      <c r="E34" s="52"/>
      <c r="F34" s="86"/>
      <c r="G34" s="52"/>
      <c r="H34" s="52"/>
      <c r="I34" s="52"/>
      <c r="J34" s="52"/>
      <c r="K34" s="52"/>
      <c r="L34" s="52"/>
      <c r="M34" s="52"/>
      <c r="N34" s="52"/>
      <c r="O34" s="52"/>
    </row>
    <row r="35" spans="1:15" x14ac:dyDescent="0.25">
      <c r="A35" s="201"/>
      <c r="B35" s="202"/>
      <c r="C35" s="202"/>
      <c r="D35" s="202"/>
      <c r="E35" s="202"/>
      <c r="F35" s="202"/>
      <c r="G35" s="202"/>
      <c r="H35" s="203"/>
      <c r="I35" s="90"/>
      <c r="J35" s="90"/>
      <c r="K35" s="90"/>
      <c r="L35" s="90"/>
      <c r="M35" s="90"/>
      <c r="N35" s="90"/>
      <c r="O35" s="90"/>
    </row>
    <row r="36" spans="1:15" ht="18.75" x14ac:dyDescent="0.25">
      <c r="A36" s="73"/>
      <c r="B36" s="73"/>
      <c r="C36" s="73"/>
      <c r="D36" s="58"/>
      <c r="E36" s="73"/>
      <c r="F36" s="58"/>
      <c r="G36" s="58"/>
      <c r="H36" s="58"/>
      <c r="I36" s="73"/>
      <c r="J36" s="58"/>
      <c r="K36" s="85"/>
      <c r="L36" s="96"/>
      <c r="M36" s="96"/>
      <c r="N36" s="85"/>
      <c r="O36" s="96"/>
    </row>
    <row r="37" spans="1:15" x14ac:dyDescent="0.25">
      <c r="A37" s="86"/>
      <c r="B37" s="86"/>
      <c r="C37" s="86"/>
      <c r="D37" s="86"/>
      <c r="E37" s="86"/>
      <c r="F37" s="86"/>
      <c r="G37" s="86"/>
      <c r="H37" s="86"/>
      <c r="I37" s="52"/>
      <c r="J37" s="52"/>
      <c r="K37" s="52"/>
      <c r="L37" s="96"/>
      <c r="M37" s="96"/>
      <c r="N37" s="52"/>
      <c r="O37" s="96"/>
    </row>
    <row r="38" spans="1:15" x14ac:dyDescent="0.25">
      <c r="A38" s="204"/>
      <c r="B38" s="205"/>
      <c r="C38" s="205"/>
      <c r="D38" s="206"/>
      <c r="E38" s="52"/>
      <c r="F38" s="52"/>
      <c r="G38" s="52"/>
      <c r="H38" s="52"/>
      <c r="I38" s="52"/>
      <c r="J38" s="52"/>
      <c r="K38" s="52"/>
      <c r="L38" s="96"/>
      <c r="M38" s="96"/>
      <c r="N38" s="52"/>
      <c r="O38" s="96"/>
    </row>
    <row r="39" spans="1:15" x14ac:dyDescent="0.25">
      <c r="A39" s="73"/>
      <c r="B39" s="73"/>
      <c r="C39" s="73"/>
      <c r="D39" s="73"/>
      <c r="E39" s="90"/>
      <c r="F39" s="90"/>
      <c r="G39" s="90"/>
      <c r="H39" s="90"/>
      <c r="I39" s="90"/>
      <c r="J39" s="90"/>
      <c r="K39" s="90"/>
      <c r="L39" s="90"/>
      <c r="M39" s="90"/>
      <c r="N39" s="90"/>
      <c r="O39" s="90"/>
    </row>
    <row r="40" spans="1:15" x14ac:dyDescent="0.25">
      <c r="A40" s="86"/>
      <c r="B40" s="86"/>
      <c r="C40" s="86"/>
      <c r="D40" s="86"/>
      <c r="E40" s="94"/>
      <c r="F40" s="86"/>
      <c r="G40" s="52"/>
      <c r="H40" s="52"/>
      <c r="I40" s="52"/>
      <c r="J40" s="52"/>
      <c r="K40" s="52"/>
      <c r="L40" s="52"/>
      <c r="M40" s="52"/>
      <c r="N40" s="52"/>
      <c r="O40" s="52"/>
    </row>
    <row r="41" spans="1:15" x14ac:dyDescent="0.25">
      <c r="A41" s="204"/>
      <c r="B41" s="205"/>
      <c r="C41" s="205"/>
      <c r="D41" s="206"/>
      <c r="E41" s="96"/>
      <c r="F41" s="52"/>
      <c r="G41" s="52"/>
      <c r="H41" s="52"/>
      <c r="I41" s="52"/>
      <c r="J41" s="52"/>
      <c r="K41" s="52"/>
      <c r="L41" s="52"/>
      <c r="M41" s="52"/>
      <c r="N41" s="52"/>
      <c r="O41" s="52"/>
    </row>
    <row r="42" spans="1:15" x14ac:dyDescent="0.25">
      <c r="A42" s="73"/>
      <c r="B42" s="73"/>
      <c r="C42" s="73"/>
      <c r="D42" s="73"/>
      <c r="E42" s="96"/>
      <c r="F42" s="52"/>
      <c r="G42" s="52"/>
      <c r="H42" s="52"/>
      <c r="I42" s="52"/>
      <c r="J42" s="52"/>
      <c r="K42" s="52"/>
      <c r="L42" s="52"/>
      <c r="M42" s="52"/>
      <c r="N42" s="52"/>
      <c r="O42" s="52"/>
    </row>
    <row r="43" spans="1:15" x14ac:dyDescent="0.25">
      <c r="A43" s="86"/>
      <c r="B43" s="86"/>
      <c r="C43" s="86"/>
      <c r="D43" s="86"/>
      <c r="E43" s="86"/>
      <c r="F43" s="86"/>
      <c r="G43" s="52"/>
      <c r="H43" s="52"/>
      <c r="I43" s="52"/>
      <c r="J43" s="52"/>
      <c r="K43" s="52"/>
      <c r="L43" s="52"/>
      <c r="M43" s="52"/>
      <c r="N43" s="52"/>
      <c r="O43" s="52"/>
    </row>
    <row r="44" spans="1:15" x14ac:dyDescent="0.25">
      <c r="H44" s="90"/>
      <c r="I44" s="90"/>
      <c r="J44" s="90"/>
      <c r="K44" s="90"/>
      <c r="L44" s="90"/>
      <c r="M44" s="90"/>
      <c r="N44" s="90"/>
      <c r="O44" s="90"/>
    </row>
    <row r="45" spans="1:15" ht="18.75" x14ac:dyDescent="0.25">
      <c r="H45" s="58"/>
      <c r="I45" s="73"/>
      <c r="J45" s="58"/>
      <c r="K45" s="85"/>
      <c r="L45" s="96"/>
      <c r="M45" s="96"/>
      <c r="N45" s="85"/>
      <c r="O45" s="96"/>
    </row>
    <row r="46" spans="1:15" x14ac:dyDescent="0.25">
      <c r="H46" s="52"/>
      <c r="I46" s="52"/>
      <c r="J46" s="52"/>
      <c r="K46" s="52"/>
      <c r="L46" s="96"/>
      <c r="M46" s="96"/>
      <c r="N46" s="52"/>
      <c r="O46" s="96"/>
    </row>
    <row r="47" spans="1:15" x14ac:dyDescent="0.25">
      <c r="H47" s="52"/>
      <c r="I47" s="52"/>
      <c r="J47" s="52"/>
      <c r="K47" s="52"/>
      <c r="L47" s="96"/>
      <c r="M47" s="96"/>
      <c r="N47" s="52"/>
      <c r="O47" s="96"/>
    </row>
    <row r="48" spans="1:15" x14ac:dyDescent="0.25">
      <c r="H48" s="90"/>
      <c r="I48" s="90"/>
      <c r="J48" s="90"/>
      <c r="K48" s="90"/>
      <c r="L48" s="90"/>
      <c r="M48" s="90"/>
      <c r="N48" s="90"/>
      <c r="O48" s="90"/>
    </row>
    <row r="49" spans="1:15" x14ac:dyDescent="0.25">
      <c r="H49" s="52"/>
      <c r="I49" s="52"/>
      <c r="J49" s="52"/>
      <c r="K49" s="52"/>
      <c r="L49" s="52"/>
      <c r="M49" s="52"/>
      <c r="N49" s="52"/>
      <c r="O49" s="52"/>
    </row>
    <row r="50" spans="1:15" x14ac:dyDescent="0.25">
      <c r="A50" s="204"/>
      <c r="B50" s="205"/>
      <c r="C50" s="205"/>
      <c r="D50" s="206"/>
      <c r="E50" s="100"/>
      <c r="F50" s="74"/>
      <c r="G50" s="74"/>
      <c r="H50" s="74"/>
      <c r="I50" s="74"/>
      <c r="J50" s="74"/>
      <c r="K50" s="74"/>
      <c r="L50" s="74"/>
      <c r="M50" s="74"/>
      <c r="N50" s="74"/>
      <c r="O50" s="74"/>
    </row>
    <row r="51" spans="1:15" x14ac:dyDescent="0.25">
      <c r="A51" s="73"/>
      <c r="B51" s="73"/>
      <c r="C51" s="73"/>
      <c r="D51" s="73"/>
      <c r="E51" s="100"/>
      <c r="F51" s="74"/>
      <c r="G51" s="74"/>
      <c r="H51" s="74"/>
      <c r="I51" s="74"/>
      <c r="J51" s="74"/>
      <c r="K51" s="74"/>
      <c r="L51" s="74"/>
      <c r="M51" s="74"/>
      <c r="N51" s="74"/>
      <c r="O51" s="74"/>
    </row>
    <row r="52" spans="1:15" x14ac:dyDescent="0.25">
      <c r="A52" s="12"/>
      <c r="B52" s="12"/>
      <c r="C52" s="12"/>
      <c r="D52" s="12"/>
      <c r="E52" s="12"/>
      <c r="F52" s="12"/>
    </row>
    <row r="53" spans="1:15" x14ac:dyDescent="0.25">
      <c r="J53" s="211"/>
      <c r="K53" s="119"/>
      <c r="L53" s="119"/>
      <c r="M53" s="119"/>
    </row>
    <row r="54" spans="1:15" ht="18.75" x14ac:dyDescent="0.25">
      <c r="J54" s="58"/>
      <c r="K54" s="85"/>
      <c r="L54" s="58"/>
      <c r="M54" s="73"/>
      <c r="N54" s="85"/>
      <c r="O54" s="58"/>
    </row>
    <row r="55" spans="1:15" x14ac:dyDescent="0.25">
      <c r="J55" s="101"/>
      <c r="K55" s="74"/>
      <c r="L55" s="74"/>
      <c r="M55" s="74"/>
      <c r="N55" s="74"/>
      <c r="O55" s="102"/>
    </row>
    <row r="56" spans="1:15" x14ac:dyDescent="0.25">
      <c r="J56" s="74"/>
      <c r="K56" s="74"/>
      <c r="L56" s="74"/>
      <c r="M56" s="74"/>
      <c r="N56" s="74"/>
      <c r="O56" s="74"/>
    </row>
    <row r="57" spans="1:15" x14ac:dyDescent="0.25">
      <c r="J57" s="90"/>
      <c r="K57" s="90"/>
      <c r="L57" s="90"/>
      <c r="M57" s="90"/>
      <c r="N57" s="90"/>
      <c r="O57" s="90"/>
    </row>
    <row r="58" spans="1:15" x14ac:dyDescent="0.25">
      <c r="J58" s="74"/>
      <c r="K58" s="74"/>
      <c r="L58" s="74"/>
      <c r="M58" s="74"/>
      <c r="N58" s="74"/>
      <c r="O58" s="102"/>
    </row>
    <row r="59" spans="1:15" x14ac:dyDescent="0.25">
      <c r="A59" s="207"/>
      <c r="B59" s="207"/>
      <c r="C59" s="207"/>
      <c r="D59" s="207"/>
      <c r="F59" s="74"/>
      <c r="G59" s="74"/>
      <c r="H59" s="74"/>
      <c r="I59" s="74"/>
      <c r="J59" s="74"/>
      <c r="K59" s="74"/>
      <c r="L59" s="74"/>
      <c r="M59" s="74"/>
      <c r="N59" s="74"/>
      <c r="O59" s="102"/>
    </row>
    <row r="60" spans="1:15" x14ac:dyDescent="0.25">
      <c r="A60" s="73"/>
      <c r="B60" s="73"/>
      <c r="C60" s="73"/>
      <c r="D60" s="73"/>
      <c r="F60" s="74"/>
      <c r="G60" s="74"/>
      <c r="H60" s="74"/>
      <c r="I60" s="74"/>
      <c r="J60" s="74"/>
      <c r="K60" s="74"/>
      <c r="L60" s="74"/>
      <c r="M60" s="74"/>
      <c r="N60" s="74"/>
      <c r="O60" s="102"/>
    </row>
    <row r="61" spans="1:15" x14ac:dyDescent="0.25">
      <c r="A61" s="101"/>
      <c r="B61" s="101"/>
      <c r="C61" s="101"/>
      <c r="D61" s="101"/>
      <c r="E61" s="101"/>
      <c r="F61" s="101"/>
      <c r="G61" s="74"/>
      <c r="H61" s="74"/>
      <c r="I61" s="74"/>
      <c r="J61" s="74"/>
      <c r="K61" s="74"/>
      <c r="L61" s="74"/>
      <c r="M61" s="74"/>
      <c r="N61" s="74"/>
      <c r="O61" s="102"/>
    </row>
    <row r="62" spans="1:15" x14ac:dyDescent="0.25">
      <c r="A62" s="208"/>
      <c r="B62" s="208"/>
      <c r="C62" s="208"/>
      <c r="D62" s="208"/>
      <c r="E62" s="208"/>
      <c r="F62" s="208"/>
      <c r="G62" s="90"/>
      <c r="H62" s="90"/>
      <c r="I62" s="90"/>
      <c r="J62" s="141"/>
      <c r="K62" s="90"/>
      <c r="L62" s="90"/>
      <c r="M62" s="90"/>
      <c r="N62" s="90"/>
      <c r="O62" s="90"/>
    </row>
    <row r="63" spans="1:15" ht="18.75" x14ac:dyDescent="0.25">
      <c r="A63" s="73"/>
      <c r="B63" s="73"/>
      <c r="C63" s="73"/>
      <c r="D63" s="73"/>
      <c r="E63" s="58"/>
      <c r="F63" s="58"/>
      <c r="G63" s="58"/>
      <c r="H63" s="73"/>
      <c r="I63" s="58"/>
      <c r="J63" s="103"/>
      <c r="K63" s="103"/>
      <c r="N63" s="104"/>
    </row>
    <row r="64" spans="1:15" x14ac:dyDescent="0.25">
      <c r="A64" s="101"/>
      <c r="B64" s="101"/>
      <c r="C64" s="101"/>
      <c r="D64" s="101"/>
      <c r="E64" s="101"/>
      <c r="F64" s="101"/>
      <c r="G64" s="101"/>
      <c r="H64" s="101"/>
      <c r="I64" s="105"/>
      <c r="J64" s="12"/>
      <c r="K64" s="101"/>
      <c r="N64" s="74"/>
    </row>
    <row r="65" spans="1:15" x14ac:dyDescent="0.25">
      <c r="A65" s="209"/>
      <c r="B65" s="209"/>
      <c r="C65" s="209"/>
      <c r="D65" s="209"/>
      <c r="E65" s="74"/>
      <c r="F65" s="74"/>
      <c r="G65" s="74"/>
      <c r="H65" s="74"/>
      <c r="I65" s="74"/>
      <c r="K65" s="74"/>
      <c r="N65" s="74"/>
    </row>
    <row r="66" spans="1:15" x14ac:dyDescent="0.25">
      <c r="A66" s="73"/>
      <c r="B66" s="73"/>
      <c r="C66" s="73"/>
      <c r="D66" s="73"/>
      <c r="E66" s="90"/>
      <c r="F66" s="90"/>
      <c r="G66" s="90"/>
      <c r="H66" s="90"/>
      <c r="I66" s="90"/>
      <c r="J66" s="90"/>
      <c r="K66" s="90"/>
      <c r="L66" s="90"/>
      <c r="M66" s="90"/>
      <c r="N66" s="90"/>
      <c r="O66" s="90"/>
    </row>
    <row r="67" spans="1:15" x14ac:dyDescent="0.25">
      <c r="A67" s="101"/>
      <c r="B67" s="101"/>
      <c r="C67" s="101"/>
      <c r="D67" s="101"/>
      <c r="E67" s="41"/>
      <c r="F67" s="101"/>
      <c r="G67" s="74"/>
      <c r="H67" s="74"/>
      <c r="I67" s="74"/>
      <c r="J67" s="74"/>
      <c r="K67" s="74"/>
      <c r="L67" s="74"/>
      <c r="M67" s="74"/>
      <c r="N67" s="74"/>
      <c r="O67" s="102"/>
    </row>
    <row r="68" spans="1:15" x14ac:dyDescent="0.25">
      <c r="A68" s="207"/>
      <c r="B68" s="207"/>
      <c r="C68" s="207"/>
      <c r="D68" s="207"/>
      <c r="E68" s="74"/>
      <c r="F68" s="74"/>
      <c r="G68" s="74"/>
      <c r="H68" s="74"/>
      <c r="I68" s="74"/>
      <c r="J68" s="74"/>
      <c r="K68" s="74"/>
      <c r="L68" s="74"/>
      <c r="M68" s="74"/>
      <c r="N68" s="74"/>
      <c r="O68" s="102"/>
    </row>
    <row r="69" spans="1:15" x14ac:dyDescent="0.25">
      <c r="A69" s="73"/>
      <c r="B69" s="73"/>
      <c r="C69" s="73"/>
      <c r="D69" s="73"/>
      <c r="E69" s="74"/>
      <c r="F69" s="74"/>
      <c r="G69" s="74"/>
      <c r="H69" s="74"/>
      <c r="I69" s="74"/>
      <c r="J69" s="74"/>
      <c r="K69" s="74"/>
      <c r="L69" s="74"/>
      <c r="M69" s="74"/>
      <c r="N69" s="74"/>
      <c r="O69" s="74"/>
    </row>
    <row r="70" spans="1:15" x14ac:dyDescent="0.25">
      <c r="A70" s="101"/>
      <c r="B70" s="101"/>
      <c r="C70" s="101"/>
      <c r="D70" s="101"/>
      <c r="E70" s="74"/>
      <c r="F70" s="101"/>
      <c r="G70" s="74"/>
      <c r="H70" s="74"/>
      <c r="I70" s="74"/>
      <c r="J70" s="74"/>
      <c r="K70" s="74"/>
      <c r="L70" s="74"/>
      <c r="M70" s="74"/>
      <c r="N70" s="74"/>
      <c r="O70" s="74"/>
    </row>
    <row r="71" spans="1:15" x14ac:dyDescent="0.25">
      <c r="A71" s="208"/>
      <c r="B71" s="208"/>
      <c r="C71" s="208"/>
      <c r="D71" s="208"/>
      <c r="E71" s="208"/>
      <c r="F71" s="208"/>
      <c r="G71" s="208"/>
      <c r="H71" s="208"/>
      <c r="I71" s="90"/>
      <c r="J71" s="90"/>
      <c r="K71" s="90"/>
      <c r="L71" s="90"/>
      <c r="M71" s="90"/>
      <c r="N71" s="90"/>
      <c r="O71" s="90"/>
    </row>
    <row r="72" spans="1:15" ht="18.75" x14ac:dyDescent="0.25">
      <c r="A72" s="73"/>
      <c r="B72" s="73"/>
      <c r="C72" s="73"/>
      <c r="D72" s="58"/>
      <c r="E72" s="73"/>
      <c r="F72" s="58"/>
      <c r="G72" s="58"/>
      <c r="H72" s="58"/>
      <c r="I72" s="73"/>
      <c r="J72" s="58"/>
      <c r="K72" s="104"/>
      <c r="N72" s="104"/>
    </row>
    <row r="73" spans="1:15" x14ac:dyDescent="0.25">
      <c r="A73" s="101"/>
      <c r="B73" s="101"/>
      <c r="C73" s="101"/>
      <c r="D73" s="101"/>
      <c r="E73" s="101"/>
      <c r="F73" s="101"/>
      <c r="G73" s="101"/>
      <c r="H73" s="101"/>
      <c r="I73" s="74"/>
      <c r="J73" s="102"/>
      <c r="K73" s="74"/>
      <c r="N73" s="74"/>
    </row>
    <row r="74" spans="1:15" x14ac:dyDescent="0.25">
      <c r="A74" s="209"/>
      <c r="B74" s="209"/>
      <c r="C74" s="209"/>
      <c r="D74" s="209"/>
      <c r="E74" s="74"/>
      <c r="F74" s="74"/>
      <c r="G74" s="74"/>
      <c r="H74" s="74"/>
      <c r="I74" s="74"/>
      <c r="J74" s="74"/>
      <c r="K74" s="74"/>
      <c r="N74" s="74"/>
    </row>
    <row r="75" spans="1:15" x14ac:dyDescent="0.25">
      <c r="A75" s="73"/>
      <c r="B75" s="73"/>
      <c r="C75" s="73"/>
      <c r="D75" s="73"/>
      <c r="E75" s="90"/>
      <c r="F75" s="90"/>
      <c r="G75" s="90"/>
      <c r="H75" s="90"/>
      <c r="I75" s="90"/>
      <c r="J75" s="90"/>
      <c r="K75" s="90"/>
      <c r="L75" s="90"/>
      <c r="M75" s="90"/>
      <c r="N75" s="90"/>
      <c r="O75" s="90"/>
    </row>
    <row r="76" spans="1:15" x14ac:dyDescent="0.25">
      <c r="A76" s="101"/>
      <c r="B76" s="101"/>
      <c r="C76" s="101"/>
      <c r="D76" s="101"/>
      <c r="E76" s="41"/>
      <c r="F76" s="101"/>
      <c r="G76" s="74"/>
      <c r="H76" s="74"/>
      <c r="I76" s="74"/>
      <c r="J76" s="74"/>
      <c r="K76" s="74"/>
      <c r="L76" s="74"/>
      <c r="M76" s="74"/>
      <c r="N76" s="74"/>
      <c r="O76" s="102"/>
    </row>
    <row r="77" spans="1:15" x14ac:dyDescent="0.25">
      <c r="A77" s="207"/>
      <c r="B77" s="207"/>
      <c r="C77" s="207"/>
      <c r="D77" s="207"/>
      <c r="F77" s="74"/>
      <c r="G77" s="74"/>
      <c r="H77" s="74"/>
      <c r="I77" s="74"/>
      <c r="J77" s="74"/>
      <c r="K77" s="74"/>
      <c r="L77" s="74"/>
      <c r="M77" s="74"/>
      <c r="N77" s="74"/>
      <c r="O77" s="102"/>
    </row>
    <row r="78" spans="1:15" x14ac:dyDescent="0.25">
      <c r="A78" s="73"/>
      <c r="B78" s="73"/>
      <c r="C78" s="73"/>
      <c r="D78" s="73"/>
      <c r="F78" s="74"/>
      <c r="G78" s="74"/>
      <c r="H78" s="74"/>
      <c r="I78" s="74"/>
      <c r="J78" s="74"/>
      <c r="K78" s="74"/>
      <c r="L78" s="74"/>
      <c r="M78" s="74"/>
      <c r="N78" s="74"/>
      <c r="O78" s="102"/>
    </row>
    <row r="79" spans="1:15" x14ac:dyDescent="0.25">
      <c r="A79" s="101"/>
      <c r="B79" s="101"/>
      <c r="C79" s="101"/>
      <c r="D79" s="101"/>
      <c r="E79" s="101"/>
      <c r="F79" s="101"/>
      <c r="G79" s="74"/>
      <c r="H79" s="74"/>
      <c r="I79" s="74"/>
      <c r="J79" s="74"/>
      <c r="K79" s="74"/>
      <c r="L79" s="74"/>
      <c r="M79" s="74"/>
      <c r="N79" s="74"/>
      <c r="O79" s="102"/>
    </row>
    <row r="80" spans="1:15" x14ac:dyDescent="0.25">
      <c r="H80" s="90"/>
      <c r="I80" s="90"/>
      <c r="J80" s="90"/>
      <c r="K80" s="90"/>
      <c r="L80" s="90"/>
      <c r="M80" s="90"/>
      <c r="N80" s="90"/>
      <c r="O80" s="90"/>
    </row>
    <row r="81" spans="1:15" ht="18.75" x14ac:dyDescent="0.25">
      <c r="H81" s="58"/>
      <c r="I81" s="73"/>
      <c r="J81" s="58"/>
      <c r="K81" s="104"/>
      <c r="N81" s="104"/>
    </row>
    <row r="82" spans="1:15" x14ac:dyDescent="0.25">
      <c r="H82" s="74"/>
      <c r="I82" s="74"/>
      <c r="J82" s="102"/>
      <c r="K82" s="74"/>
      <c r="N82" s="74"/>
    </row>
    <row r="83" spans="1:15" x14ac:dyDescent="0.25">
      <c r="H83" s="74"/>
      <c r="I83" s="74"/>
      <c r="J83" s="74"/>
      <c r="K83" s="74"/>
      <c r="N83" s="74"/>
    </row>
    <row r="84" spans="1:15" x14ac:dyDescent="0.25">
      <c r="H84" s="90"/>
      <c r="K84" s="90"/>
      <c r="L84" s="90"/>
      <c r="M84" s="90"/>
      <c r="N84" s="90"/>
      <c r="O84" s="90"/>
    </row>
    <row r="85" spans="1:15" x14ac:dyDescent="0.25">
      <c r="H85" s="107"/>
      <c r="I85" s="107"/>
      <c r="J85" s="107"/>
      <c r="K85" s="107"/>
      <c r="L85" s="107"/>
      <c r="M85" s="107"/>
      <c r="N85" s="107"/>
      <c r="O85" s="108"/>
    </row>
    <row r="86" spans="1:15" x14ac:dyDescent="0.25">
      <c r="A86" s="207"/>
      <c r="B86" s="207"/>
      <c r="C86" s="207"/>
      <c r="D86" s="207"/>
    </row>
    <row r="87" spans="1:15" x14ac:dyDescent="0.25">
      <c r="A87" s="73"/>
      <c r="B87" s="73"/>
      <c r="C87" s="73"/>
      <c r="D87" s="73"/>
    </row>
    <row r="88" spans="1:15" x14ac:dyDescent="0.25">
      <c r="A88" s="12"/>
      <c r="B88" s="12"/>
      <c r="C88" s="12"/>
      <c r="D88" s="12"/>
      <c r="F88" s="12"/>
    </row>
  </sheetData>
  <mergeCells count="19">
    <mergeCell ref="O1:R1"/>
    <mergeCell ref="S1:V1"/>
    <mergeCell ref="A5:E5"/>
    <mergeCell ref="F5:J5"/>
    <mergeCell ref="K5:O5"/>
    <mergeCell ref="P5:T5"/>
    <mergeCell ref="A1:E1"/>
    <mergeCell ref="F1:G1"/>
    <mergeCell ref="H1:I1"/>
    <mergeCell ref="J1:L1"/>
    <mergeCell ref="M1:N1"/>
    <mergeCell ref="A17:F17"/>
    <mergeCell ref="H17:M17"/>
    <mergeCell ref="A20:D20"/>
    <mergeCell ref="A27:D27"/>
    <mergeCell ref="A24:F24"/>
    <mergeCell ref="H24:M24"/>
    <mergeCell ref="H20:K20"/>
    <mergeCell ref="H27:K27"/>
  </mergeCells>
  <conditionalFormatting sqref="B3">
    <cfRule type="expression" dxfId="8" priority="8">
      <formula>$B$3="VERIFICA"</formula>
    </cfRule>
  </conditionalFormatting>
  <conditionalFormatting sqref="D3">
    <cfRule type="expression" dxfId="7" priority="7">
      <formula>$D$3="VERIFICA"</formula>
    </cfRule>
  </conditionalFormatting>
  <conditionalFormatting sqref="G3">
    <cfRule type="expression" dxfId="6" priority="6">
      <formula>$G$3="VERIFICA"</formula>
    </cfRule>
  </conditionalFormatting>
  <conditionalFormatting sqref="K3">
    <cfRule type="expression" dxfId="5" priority="5">
      <formula>$K$3="VERIFICA"</formula>
    </cfRule>
  </conditionalFormatting>
  <conditionalFormatting sqref="N3">
    <cfRule type="expression" dxfId="4" priority="4">
      <formula>$N$3="VERIFICA"</formula>
    </cfRule>
  </conditionalFormatting>
  <conditionalFormatting sqref="Q3">
    <cfRule type="expression" dxfId="3" priority="3">
      <formula>$Q$3="VERIFICA"</formula>
    </cfRule>
  </conditionalFormatting>
  <conditionalFormatting sqref="U3">
    <cfRule type="expression" dxfId="2" priority="2">
      <formula>$U$3="VERIFICA"</formula>
    </cfRule>
  </conditionalFormatting>
  <conditionalFormatting sqref="I3">
    <cfRule type="expression" dxfId="1" priority="1">
      <formula>$I$3="VERIFICA"</formula>
    </cfRule>
  </conditionalFormatting>
  <dataValidations disablePrompts="1" count="3">
    <dataValidation type="list" allowBlank="1" showInputMessage="1" showErrorMessage="1" sqref="P3">
      <formula1>Solaio</formula1>
    </dataValidation>
    <dataValidation type="list" allowBlank="1" showInputMessage="1" showErrorMessage="1" sqref="V3">
      <formula1>Balcone</formula1>
    </dataValidation>
    <dataValidation type="list" allowBlank="1" showInputMessage="1" showErrorMessage="1" sqref="E3 L3">
      <formula1>Numero</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90" zoomScaleNormal="90" workbookViewId="0">
      <selection activeCell="K16" sqref="K16"/>
    </sheetView>
  </sheetViews>
  <sheetFormatPr defaultRowHeight="15" x14ac:dyDescent="0.25"/>
  <cols>
    <col min="8" max="9" width="10.5703125" bestFit="1" customWidth="1"/>
    <col min="11" max="11" width="12" bestFit="1" customWidth="1"/>
  </cols>
  <sheetData>
    <row r="1" spans="1:14" x14ac:dyDescent="0.25">
      <c r="A1" s="407" t="s">
        <v>432</v>
      </c>
      <c r="B1" s="408"/>
      <c r="C1" s="408"/>
      <c r="D1" s="409"/>
    </row>
    <row r="2" spans="1:14" ht="30" x14ac:dyDescent="0.25">
      <c r="A2" s="333" t="s">
        <v>433</v>
      </c>
      <c r="B2" s="334" t="s">
        <v>434</v>
      </c>
      <c r="C2" s="334" t="s">
        <v>435</v>
      </c>
      <c r="D2" s="335" t="s">
        <v>101</v>
      </c>
    </row>
    <row r="3" spans="1:14" x14ac:dyDescent="0.25">
      <c r="A3" s="274">
        <v>0.16</v>
      </c>
      <c r="B3" s="274">
        <v>0.3</v>
      </c>
      <c r="C3" s="274">
        <v>0.04</v>
      </c>
      <c r="D3" s="81" t="str">
        <f>IF(AND(2*A3+B3&gt;=0.62,2*A3+B3&lt;=0.64),"Verifica","Non Verifica")</f>
        <v>Verifica</v>
      </c>
    </row>
    <row r="4" spans="1:14" x14ac:dyDescent="0.25">
      <c r="A4" s="325"/>
      <c r="B4" s="325"/>
      <c r="C4" s="325"/>
      <c r="D4" s="325"/>
      <c r="E4" s="12"/>
      <c r="F4" s="327"/>
      <c r="G4" s="327"/>
    </row>
    <row r="5" spans="1:14" x14ac:dyDescent="0.25">
      <c r="A5" s="374" t="s">
        <v>436</v>
      </c>
      <c r="B5" s="430"/>
      <c r="C5" s="430"/>
      <c r="D5" s="430"/>
      <c r="E5" s="430"/>
      <c r="F5" s="430"/>
      <c r="G5" s="431"/>
      <c r="I5" s="374" t="s">
        <v>437</v>
      </c>
      <c r="J5" s="430"/>
      <c r="K5" s="430"/>
      <c r="L5" s="430"/>
      <c r="M5" s="430"/>
      <c r="N5" s="431"/>
    </row>
    <row r="6" spans="1:14" ht="49.5" x14ac:dyDescent="0.25">
      <c r="A6" s="274" t="s">
        <v>119</v>
      </c>
      <c r="B6" s="328" t="s">
        <v>438</v>
      </c>
      <c r="C6" s="336" t="s">
        <v>443</v>
      </c>
      <c r="D6" s="336" t="s">
        <v>444</v>
      </c>
      <c r="E6" s="328" t="s">
        <v>121</v>
      </c>
      <c r="F6" s="83" t="s">
        <v>141</v>
      </c>
      <c r="G6" s="328" t="s">
        <v>470</v>
      </c>
      <c r="I6" s="326" t="s">
        <v>119</v>
      </c>
      <c r="J6" s="337" t="s">
        <v>439</v>
      </c>
      <c r="K6" s="61" t="s">
        <v>433</v>
      </c>
      <c r="L6" s="61" t="s">
        <v>434</v>
      </c>
      <c r="M6" s="338" t="s">
        <v>141</v>
      </c>
      <c r="N6" s="337" t="s">
        <v>470</v>
      </c>
    </row>
    <row r="7" spans="1:14" x14ac:dyDescent="0.25">
      <c r="A7" s="274" t="s">
        <v>124</v>
      </c>
      <c r="B7" s="274">
        <f>C3*COS(C7)</f>
        <v>3.5294117647058823E-2</v>
      </c>
      <c r="C7" s="20">
        <f>ATAN($A$3/$B$3)</f>
        <v>0.48995732625372829</v>
      </c>
      <c r="D7" s="20">
        <f>C7*360/(2*PI())</f>
        <v>28.072486935852954</v>
      </c>
      <c r="E7" s="20">
        <f>1*COS(C7)</f>
        <v>0.88235294117647056</v>
      </c>
      <c r="F7" s="274">
        <v>25</v>
      </c>
      <c r="G7" s="20">
        <f>((F7*E7*B7)*Dati!O18)*COS(C7)</f>
        <v>0.88235294117647056</v>
      </c>
      <c r="I7" s="274" t="s">
        <v>129</v>
      </c>
      <c r="J7" s="274">
        <v>0.02</v>
      </c>
      <c r="K7" s="274">
        <f>A3-J7</f>
        <v>0.14000000000000001</v>
      </c>
      <c r="L7" s="274">
        <f>B3+J7+0.02</f>
        <v>0.34</v>
      </c>
      <c r="M7" s="274">
        <v>27</v>
      </c>
      <c r="N7" s="20">
        <f>M7*(K7+L7)*J7*Dati!P18</f>
        <v>0.76235294117647068</v>
      </c>
    </row>
    <row r="8" spans="1:14" ht="30" x14ac:dyDescent="0.25">
      <c r="A8" s="274" t="s">
        <v>119</v>
      </c>
      <c r="B8" s="61" t="s">
        <v>433</v>
      </c>
      <c r="C8" s="20"/>
      <c r="D8" s="20"/>
      <c r="E8" s="61" t="s">
        <v>434</v>
      </c>
      <c r="F8" s="83"/>
      <c r="I8" s="328" t="s">
        <v>440</v>
      </c>
      <c r="J8" s="274">
        <v>0.02</v>
      </c>
      <c r="K8" s="84"/>
      <c r="L8" s="274">
        <f>B3</f>
        <v>0.3</v>
      </c>
      <c r="M8" s="274">
        <v>18</v>
      </c>
      <c r="N8" s="45">
        <f>J8*M8*L8*Dati!M18</f>
        <v>0.36</v>
      </c>
    </row>
    <row r="9" spans="1:14" ht="30" x14ac:dyDescent="0.25">
      <c r="A9" s="274" t="s">
        <v>471</v>
      </c>
      <c r="B9" s="20">
        <f>'Analisi dei Carichi Solaio Tipo'!B9*COS(C7)</f>
        <v>0.17647058823529413</v>
      </c>
      <c r="C9" s="20">
        <f t="shared" ref="C9:C10" si="0">ATAN($A$3/$B$3)</f>
        <v>0.48995732625372829</v>
      </c>
      <c r="D9" s="20">
        <f>C9*360/(2*PI())</f>
        <v>28.072486935852954</v>
      </c>
      <c r="E9" s="20">
        <f>'Analisi dei Carichi Solaio Tipo'!C9*COS(C7)</f>
        <v>0.21176470588235294</v>
      </c>
      <c r="F9" s="82">
        <v>25</v>
      </c>
      <c r="G9" s="339">
        <f>B9*E9*F9</f>
        <v>0.9342560553633219</v>
      </c>
      <c r="I9" s="328" t="s">
        <v>442</v>
      </c>
      <c r="J9" s="274">
        <v>0.02</v>
      </c>
      <c r="K9" s="274">
        <f>A3</f>
        <v>0.16</v>
      </c>
      <c r="L9" s="84"/>
      <c r="M9" s="274">
        <v>18</v>
      </c>
      <c r="N9" s="20">
        <f>J9*M9*K9*Dati!M18</f>
        <v>0.192</v>
      </c>
    </row>
    <row r="10" spans="1:14" x14ac:dyDescent="0.25">
      <c r="A10" s="274" t="s">
        <v>126</v>
      </c>
      <c r="B10" s="20">
        <f>'Analisi dei Carichi Solaio Tipo'!B8*COS(C7)</f>
        <v>0.17647058823529413</v>
      </c>
      <c r="C10" s="20">
        <f t="shared" si="0"/>
        <v>0.48995732625372829</v>
      </c>
      <c r="D10" s="20">
        <f>C10*360/(2*PI())</f>
        <v>28.072486935852954</v>
      </c>
      <c r="E10" s="20">
        <f>'Analisi dei Carichi Solaio Tipo'!C8*COS(C7)</f>
        <v>0.66176470588235292</v>
      </c>
      <c r="F10" s="82">
        <v>8</v>
      </c>
      <c r="G10" s="339">
        <f>B10*E10*F10</f>
        <v>0.93425605536332179</v>
      </c>
      <c r="I10" s="274" t="s">
        <v>441</v>
      </c>
      <c r="J10" s="274">
        <f>A3</f>
        <v>0.16</v>
      </c>
      <c r="K10" s="20"/>
      <c r="L10" s="20">
        <f>$B$3</f>
        <v>0.3</v>
      </c>
      <c r="M10" s="274">
        <v>5</v>
      </c>
      <c r="N10" s="20">
        <f>(Dati!M18*J10*L10*M10/2)*2.94</f>
        <v>1.1759999999999999</v>
      </c>
    </row>
    <row r="11" spans="1:14" ht="49.5" x14ac:dyDescent="0.25">
      <c r="A11" s="274"/>
      <c r="B11" s="274"/>
      <c r="C11" s="274"/>
      <c r="D11" s="84"/>
      <c r="E11" s="84"/>
      <c r="F11" s="341"/>
      <c r="G11" s="342"/>
      <c r="I11" s="84"/>
      <c r="J11" s="84"/>
      <c r="K11" s="336" t="s">
        <v>443</v>
      </c>
      <c r="L11" s="328" t="s">
        <v>121</v>
      </c>
      <c r="M11" s="84"/>
      <c r="N11" s="340"/>
    </row>
    <row r="12" spans="1:14" x14ac:dyDescent="0.25">
      <c r="A12" s="325"/>
      <c r="B12" s="325"/>
      <c r="C12" s="325"/>
      <c r="F12" s="343" t="s">
        <v>133</v>
      </c>
      <c r="G12" s="344">
        <f>G7+G9+G10+G11</f>
        <v>2.7508650519031144</v>
      </c>
      <c r="I12" s="274" t="s">
        <v>127</v>
      </c>
      <c r="J12" s="274">
        <v>0.02</v>
      </c>
      <c r="K12" s="20">
        <f>ATAN($A$3/$B$3)</f>
        <v>0.48995732625372829</v>
      </c>
      <c r="L12" s="20">
        <f>1*COS(K12)</f>
        <v>0.88235294117647056</v>
      </c>
      <c r="M12" s="274">
        <v>18</v>
      </c>
      <c r="N12" s="20">
        <f>M12*L12*J12*Dati!O18</f>
        <v>0.40800000000000008</v>
      </c>
    </row>
    <row r="13" spans="1:14" x14ac:dyDescent="0.25">
      <c r="I13" s="84"/>
      <c r="J13" s="84"/>
      <c r="K13" s="84"/>
      <c r="L13" s="84"/>
      <c r="M13" s="84"/>
      <c r="N13" s="340"/>
    </row>
    <row r="14" spans="1:14" x14ac:dyDescent="0.25">
      <c r="J14" s="327"/>
      <c r="K14" s="327"/>
      <c r="M14" s="343" t="s">
        <v>133</v>
      </c>
      <c r="N14" s="344">
        <f>N7+N8+N9+N12+N13+N10</f>
        <v>2.898352941176471</v>
      </c>
    </row>
    <row r="15" spans="1:14" x14ac:dyDescent="0.25">
      <c r="A15" s="394" t="s">
        <v>162</v>
      </c>
      <c r="B15" s="395"/>
      <c r="C15" s="395"/>
      <c r="D15" s="395"/>
      <c r="E15" s="395"/>
      <c r="F15" s="395"/>
    </row>
    <row r="16" spans="1:14" ht="32.25" x14ac:dyDescent="0.25">
      <c r="A16" s="73" t="s">
        <v>449</v>
      </c>
      <c r="B16" s="85" t="s">
        <v>56</v>
      </c>
      <c r="C16" s="73" t="s">
        <v>450</v>
      </c>
      <c r="D16" s="85" t="s">
        <v>57</v>
      </c>
      <c r="E16" s="73" t="s">
        <v>451</v>
      </c>
      <c r="F16" s="85" t="s">
        <v>58</v>
      </c>
    </row>
    <row r="17" spans="1:6" x14ac:dyDescent="0.25">
      <c r="A17" s="86">
        <f>G12</f>
        <v>2.7508650519031144</v>
      </c>
      <c r="B17" s="86">
        <v>1.3</v>
      </c>
      <c r="C17" s="86">
        <f>N14</f>
        <v>2.898352941176471</v>
      </c>
      <c r="D17" s="86">
        <v>1.5</v>
      </c>
      <c r="E17" s="86">
        <v>4</v>
      </c>
      <c r="F17" s="86">
        <v>1.5</v>
      </c>
    </row>
    <row r="18" spans="1:6" x14ac:dyDescent="0.25">
      <c r="A18" s="377" t="s">
        <v>138</v>
      </c>
      <c r="B18" s="378"/>
      <c r="C18" s="378"/>
      <c r="D18" s="379"/>
      <c r="E18" s="52"/>
      <c r="F18" s="52"/>
    </row>
    <row r="19" spans="1:6" ht="35.25" x14ac:dyDescent="0.25">
      <c r="A19" s="73" t="s">
        <v>452</v>
      </c>
      <c r="B19" s="73" t="s">
        <v>453</v>
      </c>
      <c r="C19" s="73" t="s">
        <v>454</v>
      </c>
      <c r="D19" s="73"/>
      <c r="E19" s="90"/>
      <c r="F19" s="210" t="s">
        <v>33</v>
      </c>
    </row>
    <row r="20" spans="1:6" x14ac:dyDescent="0.25">
      <c r="A20" s="86">
        <f>A17*B17</f>
        <v>3.5761245674740487</v>
      </c>
      <c r="B20" s="86">
        <f>C17*D17</f>
        <v>4.3475294117647065</v>
      </c>
      <c r="C20" s="86">
        <f>E17*F17</f>
        <v>6</v>
      </c>
      <c r="D20" s="86"/>
      <c r="E20" s="94"/>
      <c r="F20" s="86">
        <f>A20+B20+C20</f>
        <v>13.923653979238756</v>
      </c>
    </row>
    <row r="21" spans="1:6" x14ac:dyDescent="0.25">
      <c r="A21" s="204"/>
      <c r="B21" s="205"/>
      <c r="C21" s="205"/>
      <c r="D21" s="206"/>
      <c r="E21" s="96"/>
      <c r="F21" s="52"/>
    </row>
    <row r="22" spans="1:6" x14ac:dyDescent="0.25">
      <c r="A22" s="380" t="s">
        <v>159</v>
      </c>
      <c r="B22" s="381"/>
      <c r="C22" s="381"/>
      <c r="D22" s="381"/>
      <c r="E22" s="381"/>
      <c r="F22" s="381"/>
    </row>
    <row r="23" spans="1:6" ht="32.25" x14ac:dyDescent="0.25">
      <c r="A23" s="73" t="s">
        <v>449</v>
      </c>
      <c r="B23" s="73" t="s">
        <v>450</v>
      </c>
      <c r="C23" s="73" t="s">
        <v>451</v>
      </c>
      <c r="D23" s="58" t="s">
        <v>63</v>
      </c>
      <c r="E23" s="73"/>
      <c r="F23" s="58"/>
    </row>
    <row r="24" spans="1:6" x14ac:dyDescent="0.25">
      <c r="A24" s="86">
        <f>G12</f>
        <v>2.7508650519031144</v>
      </c>
      <c r="B24" s="86">
        <f>N14</f>
        <v>2.898352941176471</v>
      </c>
      <c r="C24" s="86">
        <f>E17</f>
        <v>4</v>
      </c>
      <c r="D24" s="86">
        <v>0.3</v>
      </c>
      <c r="E24" s="86"/>
      <c r="F24" s="86"/>
    </row>
    <row r="25" spans="1:6" x14ac:dyDescent="0.25">
      <c r="A25" s="377" t="s">
        <v>138</v>
      </c>
      <c r="B25" s="378"/>
      <c r="C25" s="378"/>
      <c r="D25" s="379"/>
      <c r="E25" s="52"/>
      <c r="F25" s="52"/>
    </row>
    <row r="26" spans="1:6" ht="35.25" x14ac:dyDescent="0.25">
      <c r="A26" s="73" t="s">
        <v>452</v>
      </c>
      <c r="B26" s="73" t="s">
        <v>453</v>
      </c>
      <c r="C26" s="73" t="s">
        <v>454</v>
      </c>
      <c r="D26" s="73"/>
      <c r="E26" s="90"/>
      <c r="F26" s="210" t="s">
        <v>33</v>
      </c>
    </row>
    <row r="27" spans="1:6" x14ac:dyDescent="0.25">
      <c r="A27" s="86">
        <f>A24</f>
        <v>2.7508650519031144</v>
      </c>
      <c r="B27" s="86">
        <f>B24</f>
        <v>2.898352941176471</v>
      </c>
      <c r="C27" s="86">
        <f>C24*D24</f>
        <v>1.2</v>
      </c>
      <c r="D27" s="86"/>
      <c r="E27" s="94"/>
      <c r="F27" s="86">
        <f>A27+B27+C27</f>
        <v>6.8492179930795851</v>
      </c>
    </row>
  </sheetData>
  <mergeCells count="7">
    <mergeCell ref="A25:D25"/>
    <mergeCell ref="I5:N5"/>
    <mergeCell ref="A1:D1"/>
    <mergeCell ref="A5:G5"/>
    <mergeCell ref="A15:F15"/>
    <mergeCell ref="A18:D18"/>
    <mergeCell ref="A22:F22"/>
  </mergeCells>
  <conditionalFormatting sqref="D3">
    <cfRule type="expression" dxfId="0" priority="1">
      <formula>$D$3="Verifica"</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zoomScale="90" zoomScaleNormal="90" workbookViewId="0">
      <selection activeCell="B19" sqref="B19"/>
    </sheetView>
  </sheetViews>
  <sheetFormatPr defaultRowHeight="15" x14ac:dyDescent="0.25"/>
  <cols>
    <col min="2" max="2" width="10.140625" customWidth="1"/>
    <col min="3" max="3" width="9.85546875" bestFit="1" customWidth="1"/>
    <col min="4" max="4" width="12.85546875" customWidth="1"/>
    <col min="5" max="5" width="10" customWidth="1"/>
    <col min="6" max="6" width="9.42578125" customWidth="1"/>
    <col min="7" max="7" width="10" customWidth="1"/>
    <col min="8" max="8" width="10.140625" customWidth="1"/>
    <col min="9" max="9" width="9.7109375" customWidth="1"/>
    <col min="10" max="10" width="9.85546875" customWidth="1"/>
    <col min="11" max="11" width="10.42578125" customWidth="1"/>
    <col min="12" max="13" width="10.28515625" customWidth="1"/>
    <col min="14" max="14" width="8.7109375" bestFit="1" customWidth="1"/>
    <col min="15" max="15" width="10" customWidth="1"/>
    <col min="16" max="16" width="10.5703125" customWidth="1"/>
    <col min="33" max="34" width="11" bestFit="1" customWidth="1"/>
  </cols>
  <sheetData>
    <row r="1" spans="1:37" ht="30" customHeight="1" x14ac:dyDescent="0.25">
      <c r="A1" s="398" t="s">
        <v>144</v>
      </c>
      <c r="B1" s="400"/>
      <c r="C1" s="398" t="s">
        <v>145</v>
      </c>
      <c r="D1" s="399"/>
      <c r="E1" s="399" t="s">
        <v>146</v>
      </c>
      <c r="F1" s="399"/>
      <c r="G1" s="18" t="s">
        <v>147</v>
      </c>
    </row>
    <row r="2" spans="1:37" ht="36" x14ac:dyDescent="0.25">
      <c r="A2" s="19" t="s">
        <v>102</v>
      </c>
      <c r="B2" s="18" t="s">
        <v>165</v>
      </c>
      <c r="C2" s="109" t="s">
        <v>141</v>
      </c>
      <c r="D2" s="17" t="s">
        <v>148</v>
      </c>
      <c r="E2" s="110" t="s">
        <v>462</v>
      </c>
      <c r="F2" s="111" t="s">
        <v>149</v>
      </c>
      <c r="G2" s="112" t="s">
        <v>150</v>
      </c>
    </row>
    <row r="3" spans="1:37" x14ac:dyDescent="0.25">
      <c r="A3" s="76">
        <v>0.3</v>
      </c>
      <c r="B3" s="76">
        <v>0.7</v>
      </c>
      <c r="C3" s="76">
        <v>25</v>
      </c>
      <c r="D3" s="76">
        <f>A3*B3*C3</f>
        <v>5.25</v>
      </c>
      <c r="E3" s="20">
        <f>'Analisi dei Carichi Solaio Tipo'!E12</f>
        <v>3.4000000000000004</v>
      </c>
      <c r="F3" s="76">
        <f>A3*E3</f>
        <v>1.02</v>
      </c>
      <c r="G3" s="76">
        <f>D3-F3</f>
        <v>4.2300000000000004</v>
      </c>
    </row>
    <row r="4" spans="1:37" x14ac:dyDescent="0.25">
      <c r="A4" s="74"/>
      <c r="B4" s="74"/>
      <c r="C4" s="74"/>
      <c r="D4" s="74"/>
      <c r="E4" s="12"/>
      <c r="F4" s="78"/>
      <c r="G4" s="78"/>
    </row>
    <row r="5" spans="1:37" x14ac:dyDescent="0.25">
      <c r="A5" s="398" t="s">
        <v>151</v>
      </c>
      <c r="B5" s="399"/>
      <c r="C5" s="399"/>
      <c r="D5" s="399"/>
      <c r="E5" s="399"/>
      <c r="F5" s="399"/>
      <c r="G5" s="399"/>
      <c r="H5" s="399"/>
      <c r="I5" s="399"/>
      <c r="J5" s="399"/>
      <c r="K5" s="399"/>
      <c r="L5" s="399"/>
      <c r="M5" s="399"/>
      <c r="N5" s="399"/>
      <c r="O5" s="399"/>
      <c r="P5" s="399"/>
      <c r="Q5" s="399"/>
      <c r="R5" s="399"/>
      <c r="S5" s="399"/>
      <c r="T5" s="400"/>
    </row>
    <row r="6" spans="1:37" ht="60" x14ac:dyDescent="0.25">
      <c r="B6" s="352" t="s">
        <v>446</v>
      </c>
      <c r="C6" s="353" t="s">
        <v>446</v>
      </c>
      <c r="D6" s="334" t="s">
        <v>479</v>
      </c>
      <c r="E6" s="334" t="s">
        <v>475</v>
      </c>
      <c r="F6" s="228" t="s">
        <v>283</v>
      </c>
      <c r="G6" s="229" t="s">
        <v>284</v>
      </c>
      <c r="H6" s="229" t="s">
        <v>445</v>
      </c>
      <c r="I6" s="111" t="s">
        <v>285</v>
      </c>
      <c r="J6" s="230" t="s">
        <v>448</v>
      </c>
      <c r="K6" s="330" t="s">
        <v>447</v>
      </c>
      <c r="L6" s="331" t="s">
        <v>185</v>
      </c>
      <c r="M6" s="334" t="s">
        <v>477</v>
      </c>
      <c r="N6" s="229" t="s">
        <v>287</v>
      </c>
      <c r="O6" s="229" t="s">
        <v>288</v>
      </c>
      <c r="P6" s="230" t="s">
        <v>289</v>
      </c>
      <c r="Q6" s="335" t="s">
        <v>476</v>
      </c>
      <c r="R6" s="331" t="s">
        <v>472</v>
      </c>
      <c r="S6" s="331" t="s">
        <v>473</v>
      </c>
      <c r="T6" s="332" t="s">
        <v>474</v>
      </c>
      <c r="AK6" s="190"/>
    </row>
    <row r="7" spans="1:37" ht="30" x14ac:dyDescent="0.25">
      <c r="A7" s="228" t="s">
        <v>182</v>
      </c>
      <c r="B7" s="274">
        <v>2.9750000000000001</v>
      </c>
      <c r="C7" s="359"/>
      <c r="D7" s="25">
        <v>5.65</v>
      </c>
      <c r="E7" s="25"/>
      <c r="F7" s="20">
        <f>$E$3</f>
        <v>3.4000000000000004</v>
      </c>
      <c r="G7" s="20">
        <f>'Analisi dei Carichi Solaio Tipo'!$J$12</f>
        <v>2.7600000000000002</v>
      </c>
      <c r="H7" s="20">
        <f>'Analisi dei Carichi Solaio Tipo'!$J$13+'Analisi dei Carichi Solaio Tipo'!$J$14</f>
        <v>5.9420000000000002</v>
      </c>
      <c r="I7" s="20">
        <f>'Analisi dei Carichi Solaio Tipo'!$E$19</f>
        <v>2</v>
      </c>
      <c r="J7" s="20">
        <f>$G$3</f>
        <v>4.2300000000000004</v>
      </c>
      <c r="K7" s="359"/>
      <c r="L7" s="359"/>
      <c r="M7" s="25"/>
      <c r="N7" s="359"/>
      <c r="O7" s="359"/>
      <c r="P7" s="359"/>
      <c r="Q7" s="25"/>
      <c r="R7" s="359"/>
      <c r="S7" s="359"/>
      <c r="T7" s="359"/>
      <c r="AK7" s="190"/>
    </row>
    <row r="8" spans="1:37" x14ac:dyDescent="0.25">
      <c r="A8" s="232" t="s">
        <v>50</v>
      </c>
      <c r="B8" s="33"/>
      <c r="C8" s="32">
        <v>2.65</v>
      </c>
      <c r="D8" s="32">
        <f>1.45</f>
        <v>1.45</v>
      </c>
      <c r="E8" s="32"/>
      <c r="F8" s="33"/>
      <c r="G8" s="33"/>
      <c r="H8" s="33"/>
      <c r="I8" s="32"/>
      <c r="J8" s="33"/>
      <c r="K8" s="32"/>
      <c r="L8" s="33"/>
      <c r="M8" s="33"/>
      <c r="N8" s="32"/>
      <c r="O8" s="32"/>
      <c r="P8" s="32"/>
      <c r="Q8" s="32">
        <f>C8*D8</f>
        <v>3.8424999999999998</v>
      </c>
      <c r="R8" s="31">
        <f>'Analisi dei Carichi Scala'!G12</f>
        <v>2.7508650519031144</v>
      </c>
      <c r="S8" s="31">
        <f>'Analisi dei Carichi Scala'!N14</f>
        <v>2.898352941176471</v>
      </c>
      <c r="T8" s="31">
        <f>'Analisi dei Carichi Scala'!E17</f>
        <v>4</v>
      </c>
    </row>
    <row r="9" spans="1:37" x14ac:dyDescent="0.25">
      <c r="A9" s="232" t="s">
        <v>51</v>
      </c>
      <c r="B9" s="32"/>
      <c r="C9" s="32">
        <v>2.65</v>
      </c>
      <c r="D9" s="32">
        <v>2.1</v>
      </c>
      <c r="E9" s="32">
        <f>(C9)*D9</f>
        <v>5.5650000000000004</v>
      </c>
      <c r="F9" s="31">
        <f>E3</f>
        <v>3.4000000000000004</v>
      </c>
      <c r="G9" s="31">
        <f>G7</f>
        <v>2.7600000000000002</v>
      </c>
      <c r="H9" s="31"/>
      <c r="I9" s="31">
        <f>I7</f>
        <v>2</v>
      </c>
      <c r="J9" s="31"/>
      <c r="K9" s="32"/>
      <c r="L9" s="33"/>
      <c r="M9" s="33"/>
      <c r="N9" s="32"/>
      <c r="O9" s="32"/>
      <c r="P9" s="32"/>
      <c r="Q9" s="32"/>
      <c r="R9" s="33"/>
      <c r="S9" s="33"/>
      <c r="T9" s="33"/>
    </row>
    <row r="10" spans="1:37" x14ac:dyDescent="0.25">
      <c r="A10" s="232" t="s">
        <v>52</v>
      </c>
      <c r="B10" s="357"/>
      <c r="C10" s="357">
        <v>2.65</v>
      </c>
      <c r="D10" s="357">
        <v>2.1</v>
      </c>
      <c r="E10" s="357">
        <f>(C10)*D10</f>
        <v>5.5650000000000004</v>
      </c>
      <c r="F10" s="22">
        <f>F9</f>
        <v>3.4000000000000004</v>
      </c>
      <c r="G10" s="22">
        <f>G9</f>
        <v>2.7600000000000002</v>
      </c>
      <c r="H10" s="22"/>
      <c r="I10" s="22">
        <f>I9</f>
        <v>2</v>
      </c>
      <c r="J10" s="22"/>
      <c r="K10" s="357"/>
      <c r="L10" s="34"/>
      <c r="M10" s="34"/>
      <c r="N10" s="357"/>
      <c r="O10" s="357"/>
      <c r="P10" s="357"/>
      <c r="Q10" s="357"/>
      <c r="R10" s="34"/>
      <c r="S10" s="34"/>
      <c r="T10" s="34"/>
    </row>
    <row r="11" spans="1:37" ht="30" x14ac:dyDescent="0.25">
      <c r="A11" s="237" t="s">
        <v>183</v>
      </c>
      <c r="B11" s="232">
        <v>2.75</v>
      </c>
      <c r="C11" s="84"/>
      <c r="D11" s="82">
        <v>4.05</v>
      </c>
      <c r="E11" s="274"/>
      <c r="F11" s="20">
        <f t="shared" ref="F11:F12" si="0">$E$3</f>
        <v>3.4000000000000004</v>
      </c>
      <c r="G11" s="20">
        <f>'Analisi dei Carichi Solaio Tipo'!$J$12</f>
        <v>2.7600000000000002</v>
      </c>
      <c r="H11" s="20">
        <f>'Analisi dei Carichi Solaio Tipo'!$J$13+'Analisi dei Carichi Solaio Tipo'!$J$14</f>
        <v>5.9420000000000002</v>
      </c>
      <c r="I11" s="20">
        <f>'Analisi dei Carichi Solaio Tipo'!$E$19</f>
        <v>2</v>
      </c>
      <c r="J11" s="20">
        <f t="shared" ref="J11:J12" si="1">$G$3</f>
        <v>4.2300000000000004</v>
      </c>
      <c r="K11" s="274">
        <f>'Analisi dei Carichi Solaio Tipo'!S3-A3/2</f>
        <v>1.6</v>
      </c>
      <c r="L11" s="274">
        <v>3.5</v>
      </c>
      <c r="M11" s="274">
        <f>K11*L11</f>
        <v>5.6000000000000005</v>
      </c>
      <c r="N11" s="274">
        <f>'Analisi dei Carichi Solaio Tipo'!$O$12</f>
        <v>2.6</v>
      </c>
      <c r="O11" s="274">
        <f>'Analisi dei Carichi Solaio Tipo'!$T$12</f>
        <v>0.97500000000000009</v>
      </c>
      <c r="P11" s="20">
        <f>'Analisi dei Carichi Solaio Tipo'!L19</f>
        <v>4</v>
      </c>
      <c r="Q11" s="84"/>
      <c r="R11" s="84"/>
      <c r="S11" s="84"/>
      <c r="T11" s="84"/>
    </row>
    <row r="12" spans="1:37" ht="30" x14ac:dyDescent="0.25">
      <c r="A12" s="237" t="s">
        <v>184</v>
      </c>
      <c r="B12" s="232">
        <v>2.9750000000000001</v>
      </c>
      <c r="C12" s="84"/>
      <c r="D12" s="274">
        <v>5.65</v>
      </c>
      <c r="E12" s="274"/>
      <c r="F12" s="20">
        <f t="shared" si="0"/>
        <v>3.4000000000000004</v>
      </c>
      <c r="G12" s="20">
        <f>'Analisi dei Carichi Solaio Tipo'!$J$12</f>
        <v>2.7600000000000002</v>
      </c>
      <c r="H12" s="20">
        <f>'Analisi dei Carichi Solaio Tipo'!$J$13+'Analisi dei Carichi Solaio Tipo'!$J$14</f>
        <v>5.9420000000000002</v>
      </c>
      <c r="I12" s="20">
        <f>'Analisi dei Carichi Solaio Tipo'!$E$19</f>
        <v>2</v>
      </c>
      <c r="J12" s="20">
        <f t="shared" si="1"/>
        <v>4.2300000000000004</v>
      </c>
      <c r="K12" s="274"/>
      <c r="L12" s="84"/>
      <c r="M12" s="84"/>
      <c r="N12" s="274"/>
      <c r="O12" s="274"/>
      <c r="P12" s="274"/>
      <c r="Q12" s="84"/>
      <c r="R12" s="84"/>
      <c r="S12" s="84"/>
      <c r="T12" s="84"/>
    </row>
    <row r="13" spans="1:37" x14ac:dyDescent="0.25">
      <c r="A13" s="366"/>
      <c r="B13" s="360"/>
      <c r="C13" s="100"/>
      <c r="D13" s="365"/>
      <c r="E13" s="356"/>
      <c r="F13" s="101"/>
      <c r="G13" s="101"/>
      <c r="H13" s="101"/>
      <c r="I13" s="101"/>
      <c r="J13" s="101"/>
      <c r="K13" s="356"/>
      <c r="L13" s="356"/>
      <c r="M13" s="356"/>
      <c r="N13" s="356"/>
      <c r="O13" s="356"/>
      <c r="P13" s="101"/>
    </row>
    <row r="15" spans="1:37" x14ac:dyDescent="0.25">
      <c r="F15" s="12"/>
    </row>
    <row r="16" spans="1:37" x14ac:dyDescent="0.25">
      <c r="A16" s="401" t="s">
        <v>153</v>
      </c>
      <c r="B16" s="402"/>
      <c r="C16" s="402"/>
      <c r="D16" s="402"/>
      <c r="E16" s="402"/>
      <c r="F16" s="402"/>
      <c r="G16" s="402"/>
      <c r="H16" s="402"/>
      <c r="I16" s="402"/>
      <c r="J16" s="402"/>
      <c r="K16" s="402"/>
      <c r="L16" s="402"/>
      <c r="M16" s="402"/>
      <c r="N16" s="402"/>
      <c r="O16" s="402"/>
      <c r="Q16" s="390" t="s">
        <v>155</v>
      </c>
      <c r="R16" s="390"/>
      <c r="S16" s="390"/>
      <c r="T16" s="390"/>
      <c r="U16" s="390"/>
      <c r="V16" s="390"/>
      <c r="W16" s="390"/>
      <c r="X16" s="390"/>
      <c r="Y16" s="390"/>
      <c r="Z16" s="390"/>
      <c r="AA16" s="390"/>
      <c r="AB16" s="390"/>
      <c r="AC16" s="390"/>
      <c r="AD16" s="215"/>
      <c r="AE16" s="215"/>
    </row>
    <row r="17" spans="1:34" x14ac:dyDescent="0.25">
      <c r="A17" s="397" t="s">
        <v>154</v>
      </c>
      <c r="B17" s="397"/>
      <c r="C17" s="397"/>
      <c r="D17" s="397"/>
      <c r="E17" s="397"/>
      <c r="F17" s="397"/>
      <c r="G17" s="397"/>
      <c r="H17" s="397"/>
      <c r="I17" s="397"/>
      <c r="J17" s="397"/>
      <c r="K17" s="397"/>
      <c r="L17" s="397"/>
      <c r="M17" s="397"/>
      <c r="N17" s="397"/>
      <c r="O17" s="397"/>
      <c r="Q17" s="397" t="s">
        <v>154</v>
      </c>
      <c r="R17" s="397"/>
      <c r="S17" s="397"/>
      <c r="T17" s="397"/>
      <c r="U17" s="397"/>
      <c r="V17" s="397"/>
      <c r="W17" s="397"/>
      <c r="X17" s="397"/>
      <c r="Y17" s="397"/>
      <c r="Z17" s="397"/>
      <c r="AA17" s="397"/>
      <c r="AB17" s="397"/>
      <c r="AC17" s="397"/>
    </row>
    <row r="18" spans="1:34" ht="33" x14ac:dyDescent="0.25">
      <c r="A18" s="413" t="s">
        <v>182</v>
      </c>
      <c r="B18" s="54" t="s">
        <v>53</v>
      </c>
      <c r="C18" s="55" t="s">
        <v>56</v>
      </c>
      <c r="D18" s="54" t="s">
        <v>54</v>
      </c>
      <c r="E18" s="55" t="s">
        <v>57</v>
      </c>
      <c r="F18" s="54" t="s">
        <v>55</v>
      </c>
      <c r="G18" s="55" t="s">
        <v>58</v>
      </c>
      <c r="H18" s="54"/>
      <c r="I18" s="55"/>
      <c r="L18" s="54" t="s">
        <v>59</v>
      </c>
      <c r="M18" s="54" t="s">
        <v>60</v>
      </c>
      <c r="N18" s="54" t="s">
        <v>61</v>
      </c>
      <c r="O18" s="56" t="s">
        <v>62</v>
      </c>
      <c r="Q18" s="152" t="s">
        <v>182</v>
      </c>
      <c r="R18" s="54" t="s">
        <v>53</v>
      </c>
      <c r="S18" s="54" t="s">
        <v>54</v>
      </c>
      <c r="T18" s="54" t="s">
        <v>55</v>
      </c>
      <c r="U18" s="58" t="s">
        <v>63</v>
      </c>
      <c r="W18" s="55"/>
      <c r="X18" s="54"/>
      <c r="Y18" s="55"/>
      <c r="Z18" s="54" t="s">
        <v>59</v>
      </c>
      <c r="AA18" s="54" t="s">
        <v>60</v>
      </c>
      <c r="AB18" s="54" t="s">
        <v>61</v>
      </c>
      <c r="AC18" s="56" t="s">
        <v>62</v>
      </c>
    </row>
    <row r="19" spans="1:34" x14ac:dyDescent="0.25">
      <c r="A19" s="413"/>
      <c r="B19" s="131">
        <f>F7*B7+J7</f>
        <v>14.345000000000002</v>
      </c>
      <c r="C19" s="12">
        <v>1.3</v>
      </c>
      <c r="D19" s="131">
        <f>G7*B7+H7</f>
        <v>14.153</v>
      </c>
      <c r="E19" s="12">
        <v>1.5</v>
      </c>
      <c r="F19" s="131">
        <f>I7*B7</f>
        <v>5.95</v>
      </c>
      <c r="G19" s="131">
        <v>1.5</v>
      </c>
      <c r="H19" s="131"/>
      <c r="I19" s="131"/>
      <c r="L19" s="86">
        <f>B19*C19</f>
        <v>18.648500000000002</v>
      </c>
      <c r="M19" s="86">
        <f>D19*E19</f>
        <v>21.229500000000002</v>
      </c>
      <c r="N19" s="86">
        <f>F19*G19+H19*I19</f>
        <v>8.9250000000000007</v>
      </c>
      <c r="O19" s="12">
        <f>L19+M19+N19</f>
        <v>48.802999999999997</v>
      </c>
      <c r="Q19" s="361"/>
      <c r="R19" s="131">
        <f>B19</f>
        <v>14.345000000000002</v>
      </c>
      <c r="S19" s="131">
        <f>D19</f>
        <v>14.153</v>
      </c>
      <c r="T19" s="131">
        <f>F19</f>
        <v>5.95</v>
      </c>
      <c r="U19" s="52">
        <v>0.3</v>
      </c>
      <c r="V19" s="95"/>
      <c r="W19" s="96"/>
      <c r="X19" s="140"/>
      <c r="Y19" s="140"/>
      <c r="Z19" s="368">
        <f>R19</f>
        <v>14.345000000000002</v>
      </c>
      <c r="AA19" s="368">
        <f>S19</f>
        <v>14.153</v>
      </c>
      <c r="AB19" s="368">
        <f>T19*U19</f>
        <v>1.7849999999999999</v>
      </c>
      <c r="AC19" s="101">
        <f>Z19+AA19+AB19</f>
        <v>30.283000000000005</v>
      </c>
    </row>
    <row r="20" spans="1:34" ht="33" x14ac:dyDescent="0.25">
      <c r="A20" s="412" t="s">
        <v>50</v>
      </c>
      <c r="B20" s="54" t="s">
        <v>53</v>
      </c>
      <c r="C20" s="55" t="s">
        <v>56</v>
      </c>
      <c r="D20" s="54" t="s">
        <v>54</v>
      </c>
      <c r="E20" s="55" t="s">
        <v>57</v>
      </c>
      <c r="F20" s="54" t="s">
        <v>55</v>
      </c>
      <c r="G20" s="55" t="s">
        <v>58</v>
      </c>
      <c r="H20" s="54" t="s">
        <v>136</v>
      </c>
      <c r="I20" s="55" t="s">
        <v>142</v>
      </c>
      <c r="J20" s="54" t="s">
        <v>481</v>
      </c>
      <c r="K20" s="55" t="s">
        <v>480</v>
      </c>
      <c r="L20" s="54" t="s">
        <v>59</v>
      </c>
      <c r="M20" s="54" t="s">
        <v>60</v>
      </c>
      <c r="N20" s="54" t="s">
        <v>61</v>
      </c>
      <c r="O20" s="56" t="s">
        <v>62</v>
      </c>
      <c r="Q20" s="412" t="s">
        <v>50</v>
      </c>
      <c r="R20" s="54" t="s">
        <v>53</v>
      </c>
      <c r="S20" s="54" t="s">
        <v>54</v>
      </c>
      <c r="T20" s="54" t="s">
        <v>55</v>
      </c>
      <c r="U20" s="58" t="s">
        <v>63</v>
      </c>
      <c r="V20" s="54" t="s">
        <v>136</v>
      </c>
      <c r="W20" s="58" t="s">
        <v>139</v>
      </c>
      <c r="X20" s="54" t="s">
        <v>481</v>
      </c>
      <c r="Y20" s="58" t="s">
        <v>482</v>
      </c>
      <c r="Z20" s="54" t="s">
        <v>59</v>
      </c>
      <c r="AA20" s="54" t="s">
        <v>60</v>
      </c>
      <c r="AB20" s="54" t="s">
        <v>61</v>
      </c>
      <c r="AC20" s="56" t="s">
        <v>62</v>
      </c>
    </row>
    <row r="21" spans="1:34" x14ac:dyDescent="0.25">
      <c r="A21" s="412"/>
      <c r="B21" s="86">
        <f>($N$8*$M$8/($D$8+$D$9+$D$10))+($R$8*$Q$8/($D$8+$D$9+$D$10))</f>
        <v>1.8708316746792417</v>
      </c>
      <c r="C21" s="86">
        <v>1.3</v>
      </c>
      <c r="D21" s="86">
        <f>($O$8*$M$8/($D$8+$D$9+$D$10))+($S$8*$Q$8/($D$8+$D$9+$D$10))</f>
        <v>1.9711364914107239</v>
      </c>
      <c r="E21" s="86">
        <v>1.5</v>
      </c>
      <c r="F21" s="358">
        <f>I8*E8/(D8+D9+D10)</f>
        <v>0</v>
      </c>
      <c r="G21" s="86">
        <v>1.5</v>
      </c>
      <c r="H21" s="86">
        <f>P8*M8/(D8+D9+D10)</f>
        <v>0</v>
      </c>
      <c r="I21">
        <v>1.5</v>
      </c>
      <c r="J21" s="131">
        <f>T8*Q8/(D8+D9+D10)</f>
        <v>2.7203539823008844</v>
      </c>
      <c r="K21" s="86">
        <v>1.5</v>
      </c>
      <c r="L21" s="86">
        <f>B21*C21</f>
        <v>2.4320811770830142</v>
      </c>
      <c r="M21" s="86">
        <f>D21*E21</f>
        <v>2.9567047371160857</v>
      </c>
      <c r="N21" s="86">
        <f>F21*G21+H21*I21+J21*K21</f>
        <v>4.0805309734513262</v>
      </c>
      <c r="O21" s="12">
        <f>L21+M21+N21</f>
        <v>9.4693168876504252</v>
      </c>
      <c r="Q21" s="412"/>
      <c r="R21" s="86">
        <f>B21</f>
        <v>1.8708316746792417</v>
      </c>
      <c r="S21" s="86">
        <f>D21</f>
        <v>1.9711364914107239</v>
      </c>
      <c r="T21" s="86">
        <f>F21</f>
        <v>0</v>
      </c>
      <c r="U21" s="86">
        <v>0.3</v>
      </c>
      <c r="V21" s="86">
        <f>H21</f>
        <v>0</v>
      </c>
      <c r="W21" s="86">
        <v>0.3</v>
      </c>
      <c r="X21" s="41">
        <f>J21</f>
        <v>2.7203539823008844</v>
      </c>
      <c r="Y21" s="358">
        <v>0.3</v>
      </c>
      <c r="Z21" s="86">
        <f>R21</f>
        <v>1.8708316746792417</v>
      </c>
      <c r="AA21" s="86">
        <f>S21</f>
        <v>1.9711364914107239</v>
      </c>
      <c r="AB21" s="86">
        <f>T21*U21+V21*W21+X21*Y21</f>
        <v>0.81610619469026535</v>
      </c>
      <c r="AC21" s="12">
        <f>Z21+AA21+AB21</f>
        <v>4.6580743607802306</v>
      </c>
    </row>
    <row r="22" spans="1:34" ht="33" x14ac:dyDescent="0.25">
      <c r="A22" s="412" t="s">
        <v>51</v>
      </c>
      <c r="B22" s="73" t="s">
        <v>53</v>
      </c>
      <c r="C22" s="85" t="s">
        <v>56</v>
      </c>
      <c r="D22" s="73" t="s">
        <v>54</v>
      </c>
      <c r="E22" s="85" t="s">
        <v>57</v>
      </c>
      <c r="F22" s="73" t="s">
        <v>55</v>
      </c>
      <c r="G22" s="85" t="s">
        <v>58</v>
      </c>
      <c r="H22" s="73" t="s">
        <v>136</v>
      </c>
      <c r="I22" s="85" t="s">
        <v>142</v>
      </c>
      <c r="J22" s="73" t="s">
        <v>481</v>
      </c>
      <c r="K22" s="85" t="s">
        <v>480</v>
      </c>
      <c r="L22" s="73" t="s">
        <v>59</v>
      </c>
      <c r="M22" s="73" t="s">
        <v>60</v>
      </c>
      <c r="N22" s="73" t="s">
        <v>61</v>
      </c>
      <c r="O22" s="56" t="s">
        <v>62</v>
      </c>
      <c r="Q22" s="412" t="s">
        <v>51</v>
      </c>
      <c r="R22" s="73" t="s">
        <v>53</v>
      </c>
      <c r="S22" s="73" t="s">
        <v>54</v>
      </c>
      <c r="T22" s="54" t="s">
        <v>55</v>
      </c>
      <c r="U22" s="58" t="s">
        <v>63</v>
      </c>
      <c r="V22" s="54" t="s">
        <v>136</v>
      </c>
      <c r="W22" s="58" t="s">
        <v>139</v>
      </c>
      <c r="X22" s="54" t="s">
        <v>481</v>
      </c>
      <c r="Y22" s="58" t="s">
        <v>482</v>
      </c>
      <c r="Z22" s="54" t="s">
        <v>59</v>
      </c>
      <c r="AA22" s="54" t="s">
        <v>60</v>
      </c>
      <c r="AB22" s="54" t="s">
        <v>61</v>
      </c>
      <c r="AC22" s="56" t="s">
        <v>62</v>
      </c>
    </row>
    <row r="23" spans="1:34" x14ac:dyDescent="0.25">
      <c r="A23" s="412"/>
      <c r="B23" s="86">
        <f>($F$9*$E$9/($D$8+$D$9+$D$10))+($N$9*$M$9/($D$8+$D$9+$D$10))+(R9*$Q$9/($D$8+$D$9+$D$10))</f>
        <v>3.348849557522124</v>
      </c>
      <c r="C23" s="86">
        <v>1.3</v>
      </c>
      <c r="D23" s="86">
        <f>$G$9*($E$9/($D$8+$D$9+$D$10))+($O$9*$M$9/($D$8+$D$9+$D$10))+($R$9*$Q$9/($D$8+$D$9+$D$10))</f>
        <v>2.7184778761061952</v>
      </c>
      <c r="E23" s="86">
        <v>1.5</v>
      </c>
      <c r="F23" s="86">
        <f>I9*E9/(D8+D9+D10)</f>
        <v>1.9699115044247788</v>
      </c>
      <c r="G23" s="86">
        <v>1.5</v>
      </c>
      <c r="H23" s="12">
        <f>P9*M9/(D8+D9+D10)</f>
        <v>0</v>
      </c>
      <c r="I23" s="358">
        <v>1.5</v>
      </c>
      <c r="J23" s="86">
        <f>S9*Q9/(D8+D9+D10)</f>
        <v>0</v>
      </c>
      <c r="K23" s="86">
        <v>1.5</v>
      </c>
      <c r="L23" s="86">
        <f>B23*C23</f>
        <v>4.3535044247787615</v>
      </c>
      <c r="M23" s="86">
        <f>D23*E23</f>
        <v>4.0777168141592925</v>
      </c>
      <c r="N23" s="86">
        <f>J23*G23+F23*K23+H23*I23</f>
        <v>2.9548672566371681</v>
      </c>
      <c r="O23" s="12">
        <f>L23+M23+N23</f>
        <v>11.386088495575223</v>
      </c>
      <c r="Q23" s="412"/>
      <c r="R23" s="86">
        <f>B23</f>
        <v>3.348849557522124</v>
      </c>
      <c r="S23" s="86">
        <f>D23</f>
        <v>2.7184778761061952</v>
      </c>
      <c r="T23" s="86">
        <f>F23</f>
        <v>1.9699115044247788</v>
      </c>
      <c r="U23" s="86">
        <v>0.3</v>
      </c>
      <c r="V23" s="86">
        <f>H23</f>
        <v>0</v>
      </c>
      <c r="W23" s="86">
        <v>0.3</v>
      </c>
      <c r="X23" s="41">
        <f>J23</f>
        <v>0</v>
      </c>
      <c r="Y23" s="358">
        <v>0.3</v>
      </c>
      <c r="Z23" s="86">
        <f>R23</f>
        <v>3.348849557522124</v>
      </c>
      <c r="AA23" s="86">
        <f>S23</f>
        <v>2.7184778761061952</v>
      </c>
      <c r="AB23" s="86">
        <f>T23*U23+V23*W23+X23*Y23</f>
        <v>0.59097345132743362</v>
      </c>
      <c r="AC23" s="12">
        <f>Z23+AA23+AB23</f>
        <v>6.6583008849557537</v>
      </c>
      <c r="AG23">
        <f>46.46*5*5/8</f>
        <v>145.1875</v>
      </c>
    </row>
    <row r="24" spans="1:34" ht="33" x14ac:dyDescent="0.25">
      <c r="A24" s="412" t="s">
        <v>52</v>
      </c>
      <c r="B24" s="73" t="s">
        <v>53</v>
      </c>
      <c r="C24" s="85" t="s">
        <v>56</v>
      </c>
      <c r="D24" s="73" t="s">
        <v>54</v>
      </c>
      <c r="E24" s="85" t="s">
        <v>57</v>
      </c>
      <c r="F24" s="73" t="s">
        <v>55</v>
      </c>
      <c r="G24" s="85" t="s">
        <v>58</v>
      </c>
      <c r="H24" s="367" t="s">
        <v>136</v>
      </c>
      <c r="I24" s="85" t="s">
        <v>142</v>
      </c>
      <c r="J24" s="73" t="s">
        <v>481</v>
      </c>
      <c r="K24" s="85" t="s">
        <v>480</v>
      </c>
      <c r="L24" s="73" t="s">
        <v>59</v>
      </c>
      <c r="M24" s="73" t="s">
        <v>60</v>
      </c>
      <c r="N24" s="73" t="s">
        <v>61</v>
      </c>
      <c r="O24" s="56" t="s">
        <v>62</v>
      </c>
      <c r="Q24" s="412" t="s">
        <v>52</v>
      </c>
      <c r="R24" s="73" t="s">
        <v>53</v>
      </c>
      <c r="S24" s="73" t="s">
        <v>54</v>
      </c>
      <c r="T24" s="54" t="s">
        <v>55</v>
      </c>
      <c r="U24" s="58" t="s">
        <v>63</v>
      </c>
      <c r="V24" s="54" t="s">
        <v>136</v>
      </c>
      <c r="W24" s="58" t="s">
        <v>139</v>
      </c>
      <c r="X24" s="54" t="s">
        <v>481</v>
      </c>
      <c r="Y24" s="58" t="s">
        <v>482</v>
      </c>
      <c r="Z24" s="54" t="s">
        <v>59</v>
      </c>
      <c r="AA24" s="54" t="s">
        <v>60</v>
      </c>
      <c r="AB24" s="54" t="s">
        <v>61</v>
      </c>
      <c r="AC24" s="56" t="s">
        <v>62</v>
      </c>
    </row>
    <row r="25" spans="1:34" x14ac:dyDescent="0.25">
      <c r="A25" s="412"/>
      <c r="B25" s="86">
        <f>($F$10*$E$10/($D$8+$D$9+$D$10))+($N$10*$M$10/($D$8+$D$9+$D$10))+(R10*$Q$10/($D$8+$D$9+$D$10))</f>
        <v>3.348849557522124</v>
      </c>
      <c r="C25" s="86">
        <v>1.3</v>
      </c>
      <c r="D25" s="86">
        <f>$G$10*($E$10/($D$8+$D$9+$D$10))+($O$10*$M$10/($D$8+$D$9+$D$10))+($R$10*$Q$10/($D$8+$D$9+$D$10))</f>
        <v>2.7184778761061952</v>
      </c>
      <c r="E25" s="86">
        <v>1.5</v>
      </c>
      <c r="F25" s="86">
        <f>I10*E10/(D8+D9+D10)</f>
        <v>1.9699115044247788</v>
      </c>
      <c r="G25" s="86">
        <v>1.5</v>
      </c>
      <c r="H25" s="12">
        <f>P10*M10/(D8+D9+D10)</f>
        <v>0</v>
      </c>
      <c r="I25" s="364">
        <v>1.5</v>
      </c>
      <c r="J25" s="86">
        <f>S10*Q10/(D8+D9+D10)</f>
        <v>0</v>
      </c>
      <c r="K25" s="86">
        <v>1.5</v>
      </c>
      <c r="L25" s="86">
        <f>B25*C25</f>
        <v>4.3535044247787615</v>
      </c>
      <c r="M25" s="86">
        <f>D25*E25</f>
        <v>4.0777168141592925</v>
      </c>
      <c r="N25" s="86">
        <f>J25*G25+F25*K25+H25*I25</f>
        <v>2.9548672566371681</v>
      </c>
      <c r="O25" s="12">
        <f>L25+M25+N25</f>
        <v>11.386088495575223</v>
      </c>
      <c r="Q25" s="412"/>
      <c r="R25" s="86">
        <f>B25</f>
        <v>3.348849557522124</v>
      </c>
      <c r="S25" s="86">
        <f>D25</f>
        <v>2.7184778761061952</v>
      </c>
      <c r="T25" s="86">
        <f>F25</f>
        <v>1.9699115044247788</v>
      </c>
      <c r="U25" s="86">
        <v>0.3</v>
      </c>
      <c r="V25" s="86">
        <f>H25</f>
        <v>0</v>
      </c>
      <c r="W25" s="86">
        <v>0.3</v>
      </c>
      <c r="X25" s="41">
        <f>J25</f>
        <v>0</v>
      </c>
      <c r="Y25" s="358">
        <v>0.3</v>
      </c>
      <c r="Z25" s="86">
        <f>R25</f>
        <v>3.348849557522124</v>
      </c>
      <c r="AA25" s="86">
        <f>S25</f>
        <v>2.7184778761061952</v>
      </c>
      <c r="AB25" s="86">
        <f>T25*U25+V25*W25+X25*Y25</f>
        <v>0.59097345132743362</v>
      </c>
      <c r="AC25" s="12">
        <f>Z25+AA25+AB25</f>
        <v>6.6583008849557537</v>
      </c>
      <c r="AG25">
        <v>272.5</v>
      </c>
    </row>
    <row r="26" spans="1:34" x14ac:dyDescent="0.25">
      <c r="A26" s="355"/>
      <c r="B26" s="86"/>
      <c r="C26" s="86"/>
      <c r="D26" s="86"/>
      <c r="E26" s="86"/>
      <c r="F26" s="86"/>
      <c r="G26" s="86"/>
      <c r="H26" s="358"/>
      <c r="I26" s="364"/>
      <c r="J26" s="86"/>
      <c r="K26" s="86"/>
      <c r="L26" s="86"/>
      <c r="M26" s="101"/>
      <c r="N26" s="101" t="s">
        <v>33</v>
      </c>
      <c r="O26" s="12">
        <f>O19+O21+O23+O25</f>
        <v>81.044493878800864</v>
      </c>
      <c r="Q26" s="355"/>
      <c r="R26" s="86"/>
      <c r="S26" s="86"/>
      <c r="T26" s="131"/>
      <c r="U26" s="86"/>
      <c r="V26" s="131"/>
      <c r="W26" s="86"/>
      <c r="Y26" s="358"/>
      <c r="AB26" s="131" t="s">
        <v>33</v>
      </c>
      <c r="AC26" s="131">
        <f>AC19+AC21+AC23+AC25</f>
        <v>48.257676130691735</v>
      </c>
      <c r="AD26" s="131"/>
      <c r="AE26" s="12"/>
    </row>
    <row r="27" spans="1:34" ht="33" x14ac:dyDescent="0.25">
      <c r="A27" s="413" t="s">
        <v>183</v>
      </c>
      <c r="B27" s="73" t="s">
        <v>53</v>
      </c>
      <c r="C27" s="85" t="s">
        <v>56</v>
      </c>
      <c r="D27" s="73" t="s">
        <v>54</v>
      </c>
      <c r="E27" s="85" t="s">
        <v>57</v>
      </c>
      <c r="F27" s="73" t="s">
        <v>55</v>
      </c>
      <c r="G27" s="85" t="s">
        <v>58</v>
      </c>
      <c r="H27" s="73" t="s">
        <v>136</v>
      </c>
      <c r="I27" s="85" t="s">
        <v>142</v>
      </c>
      <c r="J27" s="73" t="s">
        <v>481</v>
      </c>
      <c r="K27" s="85" t="s">
        <v>480</v>
      </c>
      <c r="L27" s="73" t="s">
        <v>59</v>
      </c>
      <c r="M27" s="73" t="s">
        <v>60</v>
      </c>
      <c r="N27" s="73" t="s">
        <v>61</v>
      </c>
      <c r="O27" s="56" t="s">
        <v>62</v>
      </c>
      <c r="Q27" s="413" t="s">
        <v>183</v>
      </c>
      <c r="R27" s="73" t="s">
        <v>53</v>
      </c>
      <c r="S27" s="73" t="s">
        <v>54</v>
      </c>
      <c r="T27" s="54" t="s">
        <v>55</v>
      </c>
      <c r="U27" s="58" t="s">
        <v>63</v>
      </c>
      <c r="V27" s="54" t="s">
        <v>136</v>
      </c>
      <c r="W27" s="58" t="s">
        <v>139</v>
      </c>
      <c r="X27" s="54" t="s">
        <v>481</v>
      </c>
      <c r="Y27" s="58" t="s">
        <v>482</v>
      </c>
      <c r="Z27" s="54" t="s">
        <v>59</v>
      </c>
      <c r="AA27" s="54" t="s">
        <v>60</v>
      </c>
      <c r="AB27" s="54" t="s">
        <v>61</v>
      </c>
      <c r="AC27" s="56" t="s">
        <v>62</v>
      </c>
      <c r="AG27">
        <v>2725000</v>
      </c>
    </row>
    <row r="28" spans="1:34" x14ac:dyDescent="0.25">
      <c r="A28" s="413"/>
      <c r="B28" s="86">
        <f>F11*B11+J11+N11*M11/(D11)+Q11*R11/D11</f>
        <v>17.175061728395065</v>
      </c>
      <c r="C28" s="86">
        <v>1.3</v>
      </c>
      <c r="D28" s="86">
        <f>G11*B11+H11+O11*M11/D11+R11*Q11/D11</f>
        <v>14.880148148148148</v>
      </c>
      <c r="E28" s="86">
        <v>1.5</v>
      </c>
      <c r="F28" s="86">
        <f>I11*B11</f>
        <v>5.5</v>
      </c>
      <c r="G28" s="86">
        <v>1.5</v>
      </c>
      <c r="H28" s="86">
        <f>P11*M11/D11</f>
        <v>5.5308641975308648</v>
      </c>
      <c r="I28" s="86">
        <v>1.5</v>
      </c>
      <c r="J28" s="358">
        <f>T11*Q11/D11</f>
        <v>0</v>
      </c>
      <c r="K28" s="358">
        <v>1.5</v>
      </c>
      <c r="L28" s="86">
        <f>B28*C28</f>
        <v>22.327580246913584</v>
      </c>
      <c r="M28" s="86">
        <f>D28*E28</f>
        <v>22.32022222222222</v>
      </c>
      <c r="N28" s="86">
        <f>F28*G28+H28*I28+J28*K28</f>
        <v>16.546296296296298</v>
      </c>
      <c r="O28" s="12">
        <f>L28+M28+N28</f>
        <v>61.194098765432102</v>
      </c>
      <c r="Q28" s="413"/>
      <c r="R28" s="86">
        <f>B28</f>
        <v>17.175061728395065</v>
      </c>
      <c r="S28" s="86">
        <f>D28</f>
        <v>14.880148148148148</v>
      </c>
      <c r="T28" s="86">
        <f>F28</f>
        <v>5.5</v>
      </c>
      <c r="U28" s="86">
        <v>0.3</v>
      </c>
      <c r="V28" s="86">
        <f>I11*B11</f>
        <v>5.5</v>
      </c>
      <c r="W28" s="86">
        <v>0.3</v>
      </c>
      <c r="X28" s="54">
        <f>J28</f>
        <v>0</v>
      </c>
      <c r="Y28" s="58">
        <v>0.3</v>
      </c>
      <c r="Z28" s="86">
        <f>R28</f>
        <v>17.175061728395065</v>
      </c>
      <c r="AA28" s="86">
        <f>S28</f>
        <v>14.880148148148148</v>
      </c>
      <c r="AB28" s="86">
        <f>T28*U28+V28*W28+X28*Y28</f>
        <v>3.3</v>
      </c>
      <c r="AC28" s="12">
        <f>Z28+AA28+AB28</f>
        <v>35.355209876543213</v>
      </c>
    </row>
    <row r="29" spans="1:34" ht="15" customHeight="1" x14ac:dyDescent="0.25">
      <c r="A29" s="413" t="s">
        <v>184</v>
      </c>
      <c r="B29" s="73" t="s">
        <v>53</v>
      </c>
      <c r="C29" s="85" t="s">
        <v>56</v>
      </c>
      <c r="D29" s="73" t="s">
        <v>54</v>
      </c>
      <c r="E29" s="85" t="s">
        <v>57</v>
      </c>
      <c r="F29" s="73" t="s">
        <v>55</v>
      </c>
      <c r="G29" s="85" t="s">
        <v>58</v>
      </c>
      <c r="H29" s="73" t="s">
        <v>136</v>
      </c>
      <c r="I29" s="85" t="s">
        <v>142</v>
      </c>
      <c r="J29" s="73" t="s">
        <v>481</v>
      </c>
      <c r="K29" s="85" t="s">
        <v>480</v>
      </c>
      <c r="L29" s="73" t="s">
        <v>59</v>
      </c>
      <c r="M29" s="73" t="s">
        <v>60</v>
      </c>
      <c r="N29" s="73" t="s">
        <v>61</v>
      </c>
      <c r="O29" s="56" t="s">
        <v>62</v>
      </c>
      <c r="Q29" s="413" t="s">
        <v>184</v>
      </c>
      <c r="R29" s="73" t="s">
        <v>53</v>
      </c>
      <c r="S29" s="73" t="s">
        <v>54</v>
      </c>
      <c r="T29" s="54" t="s">
        <v>55</v>
      </c>
      <c r="U29" s="58" t="s">
        <v>63</v>
      </c>
      <c r="V29" s="54" t="s">
        <v>136</v>
      </c>
      <c r="W29" s="58" t="s">
        <v>139</v>
      </c>
      <c r="X29" s="54" t="s">
        <v>481</v>
      </c>
      <c r="Y29" s="58" t="s">
        <v>482</v>
      </c>
      <c r="Z29" s="54" t="s">
        <v>59</v>
      </c>
      <c r="AA29" s="54" t="s">
        <v>60</v>
      </c>
      <c r="AB29" s="54" t="s">
        <v>61</v>
      </c>
      <c r="AC29" s="56" t="s">
        <v>62</v>
      </c>
      <c r="AH29">
        <f>41.23*4.3*4.3/8</f>
        <v>95.29283749999999</v>
      </c>
    </row>
    <row r="30" spans="1:34" x14ac:dyDescent="0.25">
      <c r="A30" s="414"/>
      <c r="B30" s="86">
        <f>F12*B12+J12+N12*M12/(D12+R12*Q12/D12)</f>
        <v>14.345000000000002</v>
      </c>
      <c r="C30" s="86">
        <v>1.3</v>
      </c>
      <c r="D30" s="86">
        <f>G12*B12+H12+O12*M12/D12+S12*Q12/D12</f>
        <v>14.153</v>
      </c>
      <c r="E30" s="86">
        <v>1.5</v>
      </c>
      <c r="F30" s="86">
        <f>I12*B12</f>
        <v>5.95</v>
      </c>
      <c r="G30" s="86">
        <v>1.5</v>
      </c>
      <c r="H30" s="86">
        <f>P12*M12/D12</f>
        <v>0</v>
      </c>
      <c r="I30" s="86">
        <v>1.5</v>
      </c>
      <c r="J30" s="358">
        <f>T12*Q12/D12</f>
        <v>0</v>
      </c>
      <c r="K30" s="358">
        <v>1.5</v>
      </c>
      <c r="L30" s="86">
        <f>B30*C30</f>
        <v>18.648500000000002</v>
      </c>
      <c r="M30" s="86">
        <f>D30*E30</f>
        <v>21.229500000000002</v>
      </c>
      <c r="N30" s="86">
        <f>F30*G30+H30*I30+J30*K30</f>
        <v>8.9250000000000007</v>
      </c>
      <c r="O30" s="12">
        <f>L30+M30+N30</f>
        <v>48.802999999999997</v>
      </c>
      <c r="Q30" s="414"/>
      <c r="R30" s="86">
        <f>B30</f>
        <v>14.345000000000002</v>
      </c>
      <c r="S30" s="86">
        <f>D30</f>
        <v>14.153</v>
      </c>
      <c r="T30" s="86">
        <f>F30</f>
        <v>5.95</v>
      </c>
      <c r="U30" s="86">
        <v>0.3</v>
      </c>
      <c r="V30" s="86">
        <f>P12*K12</f>
        <v>0</v>
      </c>
      <c r="W30" s="86">
        <v>0.3</v>
      </c>
      <c r="X30" s="358">
        <f>J30</f>
        <v>0</v>
      </c>
      <c r="Y30" s="358">
        <v>0.3</v>
      </c>
      <c r="Z30" s="86">
        <f>R30</f>
        <v>14.345000000000002</v>
      </c>
      <c r="AA30" s="86">
        <f>S30</f>
        <v>14.153</v>
      </c>
      <c r="AB30" s="86">
        <f>T30*U30+V30*W30+X30*Y30</f>
        <v>1.7849999999999999</v>
      </c>
      <c r="AC30" s="12">
        <f>Z30+AA30+AB30</f>
        <v>30.283000000000005</v>
      </c>
    </row>
    <row r="42" ht="15" customHeight="1" x14ac:dyDescent="0.25"/>
  </sheetData>
  <mergeCells count="19">
    <mergeCell ref="A1:B1"/>
    <mergeCell ref="C1:D1"/>
    <mergeCell ref="E1:F1"/>
    <mergeCell ref="A5:T5"/>
    <mergeCell ref="Q16:AC16"/>
    <mergeCell ref="A16:O16"/>
    <mergeCell ref="A29:A30"/>
    <mergeCell ref="A24:A25"/>
    <mergeCell ref="Q20:Q21"/>
    <mergeCell ref="Q22:Q23"/>
    <mergeCell ref="Q27:Q28"/>
    <mergeCell ref="Q29:Q30"/>
    <mergeCell ref="Q24:Q25"/>
    <mergeCell ref="A20:A21"/>
    <mergeCell ref="A18:A19"/>
    <mergeCell ref="Q17:AC17"/>
    <mergeCell ref="A17:O17"/>
    <mergeCell ref="A22:A23"/>
    <mergeCell ref="A27:A2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1"/>
  <sheetViews>
    <sheetView zoomScale="90" zoomScaleNormal="90" workbookViewId="0">
      <selection activeCell="B14" sqref="B14"/>
    </sheetView>
  </sheetViews>
  <sheetFormatPr defaultRowHeight="15" x14ac:dyDescent="0.25"/>
  <cols>
    <col min="2" max="2" width="10.140625" customWidth="1"/>
    <col min="4" max="4" width="7.5703125" bestFit="1" customWidth="1"/>
    <col min="5" max="5" width="8.28515625" bestFit="1" customWidth="1"/>
    <col min="6" max="6" width="8.5703125" bestFit="1" customWidth="1"/>
    <col min="7" max="7" width="10.5703125" bestFit="1" customWidth="1"/>
    <col min="8" max="8" width="11.5703125" bestFit="1" customWidth="1"/>
    <col min="10" max="10" width="7.140625" bestFit="1" customWidth="1"/>
    <col min="11" max="11" width="7.85546875" bestFit="1" customWidth="1"/>
    <col min="12" max="12" width="8.5703125" bestFit="1" customWidth="1"/>
    <col min="13" max="13" width="7.5703125" bestFit="1" customWidth="1"/>
    <col min="14" max="14" width="8.7109375" bestFit="1" customWidth="1"/>
    <col min="15" max="15" width="11" bestFit="1" customWidth="1"/>
    <col min="16" max="16" width="7.5703125" bestFit="1" customWidth="1"/>
    <col min="17" max="17" width="4.85546875" bestFit="1" customWidth="1"/>
    <col min="33" max="34" width="11" bestFit="1" customWidth="1"/>
  </cols>
  <sheetData>
    <row r="1" spans="1:32" ht="30" customHeight="1" x14ac:dyDescent="0.25">
      <c r="A1" s="398" t="s">
        <v>144</v>
      </c>
      <c r="B1" s="400"/>
      <c r="C1" s="398" t="s">
        <v>145</v>
      </c>
      <c r="D1" s="399"/>
      <c r="E1" s="399" t="s">
        <v>146</v>
      </c>
      <c r="F1" s="399"/>
      <c r="G1" s="18" t="s">
        <v>147</v>
      </c>
    </row>
    <row r="2" spans="1:32" ht="36" x14ac:dyDescent="0.25">
      <c r="A2" s="19" t="s">
        <v>102</v>
      </c>
      <c r="B2" s="18" t="s">
        <v>100</v>
      </c>
      <c r="C2" s="109" t="s">
        <v>141</v>
      </c>
      <c r="D2" s="17" t="s">
        <v>148</v>
      </c>
      <c r="E2" s="110" t="s">
        <v>462</v>
      </c>
      <c r="F2" s="111" t="s">
        <v>149</v>
      </c>
      <c r="G2" s="112" t="s">
        <v>150</v>
      </c>
    </row>
    <row r="3" spans="1:32" x14ac:dyDescent="0.25">
      <c r="A3" s="76">
        <v>1</v>
      </c>
      <c r="B3" s="76">
        <f>'Analisi dei Carichi Solaio Tipo'!O3</f>
        <v>0.24000000000000002</v>
      </c>
      <c r="C3" s="76">
        <v>25</v>
      </c>
      <c r="D3" s="76">
        <f>A3*B3*C3</f>
        <v>6.0000000000000009</v>
      </c>
      <c r="E3" s="20">
        <f>'Analisi dei Carichi Solaio Tipo'!A19</f>
        <v>3.4000000000000004</v>
      </c>
      <c r="F3" s="76">
        <f>A3*E3</f>
        <v>3.4000000000000004</v>
      </c>
      <c r="G3" s="76">
        <f>D3-F3</f>
        <v>2.6000000000000005</v>
      </c>
    </row>
    <row r="5" spans="1:32" x14ac:dyDescent="0.25">
      <c r="A5" s="411" t="s">
        <v>151</v>
      </c>
      <c r="B5" s="411"/>
      <c r="C5" s="411"/>
      <c r="D5" s="411"/>
      <c r="E5" s="411"/>
      <c r="F5" s="411"/>
      <c r="G5" s="236"/>
      <c r="H5" s="236"/>
      <c r="I5" s="236"/>
    </row>
    <row r="6" spans="1:32" ht="62.25" x14ac:dyDescent="0.25">
      <c r="A6" s="320" t="s">
        <v>49</v>
      </c>
      <c r="B6" s="323" t="s">
        <v>152</v>
      </c>
      <c r="C6" s="321" t="s">
        <v>283</v>
      </c>
      <c r="D6" s="322" t="s">
        <v>284</v>
      </c>
      <c r="E6" s="111" t="s">
        <v>285</v>
      </c>
      <c r="F6" s="323" t="s">
        <v>91</v>
      </c>
      <c r="H6" s="72"/>
      <c r="I6" s="73"/>
    </row>
    <row r="7" spans="1:32" x14ac:dyDescent="0.25">
      <c r="A7" s="239" t="s">
        <v>181</v>
      </c>
      <c r="B7" s="274">
        <v>4.7750000000000004</v>
      </c>
      <c r="C7" s="20">
        <f>'Analisi dei Carichi Solaio Tipo'!$A$19</f>
        <v>3.4000000000000004</v>
      </c>
      <c r="D7" s="20">
        <f>'Analisi dei Carichi Solaio Tipo'!$J$12</f>
        <v>2.7600000000000002</v>
      </c>
      <c r="E7" s="20">
        <f>'Analisi dei Carichi Solaio Tipo'!$E$19</f>
        <v>2</v>
      </c>
      <c r="F7" s="20">
        <f>$G$3</f>
        <v>2.6000000000000005</v>
      </c>
    </row>
    <row r="8" spans="1:32" x14ac:dyDescent="0.25">
      <c r="A8" s="239" t="s">
        <v>180</v>
      </c>
      <c r="B8" s="274">
        <v>4.7</v>
      </c>
      <c r="C8" s="20">
        <f>'Analisi dei Carichi Solaio Tipo'!$A$19</f>
        <v>3.4000000000000004</v>
      </c>
      <c r="D8" s="20">
        <f>'Analisi dei Carichi Solaio Tipo'!$J$12</f>
        <v>2.7600000000000002</v>
      </c>
      <c r="E8" s="20">
        <f>'Analisi dei Carichi Solaio Tipo'!$E$19</f>
        <v>2</v>
      </c>
      <c r="F8" s="20">
        <f>$G$3</f>
        <v>2.6000000000000005</v>
      </c>
    </row>
    <row r="9" spans="1:32" x14ac:dyDescent="0.25">
      <c r="A9" s="78"/>
      <c r="B9" s="78"/>
      <c r="C9" s="12"/>
      <c r="D9" s="12"/>
      <c r="E9" s="12"/>
      <c r="F9" s="12"/>
      <c r="O9" s="86"/>
      <c r="P9" s="86"/>
    </row>
    <row r="10" spans="1:32" ht="15" customHeight="1" x14ac:dyDescent="0.25">
      <c r="A10" s="401" t="s">
        <v>153</v>
      </c>
      <c r="B10" s="402"/>
      <c r="C10" s="402"/>
      <c r="D10" s="402"/>
      <c r="E10" s="402"/>
      <c r="F10" s="402"/>
      <c r="G10" s="402"/>
      <c r="H10" s="402"/>
      <c r="I10" s="402"/>
      <c r="J10" s="402"/>
      <c r="K10" s="402"/>
      <c r="L10" s="215"/>
      <c r="M10" s="389" t="s">
        <v>155</v>
      </c>
      <c r="N10" s="390"/>
      <c r="O10" s="390"/>
      <c r="P10" s="390"/>
      <c r="Q10" s="390"/>
      <c r="R10" s="390"/>
      <c r="S10" s="390"/>
      <c r="T10" s="390"/>
      <c r="U10" s="390"/>
      <c r="V10" s="215"/>
      <c r="W10" s="215"/>
    </row>
    <row r="11" spans="1:32" ht="15" customHeight="1" x14ac:dyDescent="0.25">
      <c r="A11" s="417" t="s">
        <v>154</v>
      </c>
      <c r="B11" s="417"/>
      <c r="C11" s="417"/>
      <c r="D11" s="417"/>
      <c r="E11" s="417"/>
      <c r="F11" s="417"/>
      <c r="G11" s="417"/>
      <c r="H11" s="417"/>
      <c r="I11" s="417"/>
      <c r="J11" s="417"/>
      <c r="K11" s="417"/>
      <c r="L11" s="242"/>
      <c r="M11" s="432" t="s">
        <v>154</v>
      </c>
      <c r="N11" s="433"/>
      <c r="O11" s="433"/>
      <c r="P11" s="433"/>
      <c r="Q11" s="433"/>
      <c r="R11" s="433"/>
      <c r="S11" s="433"/>
      <c r="T11" s="433"/>
      <c r="U11" s="433"/>
      <c r="V11" s="261"/>
      <c r="W11" s="261"/>
    </row>
    <row r="12" spans="1:32" x14ac:dyDescent="0.25">
      <c r="A12" s="52" t="s">
        <v>49</v>
      </c>
      <c r="B12" s="96"/>
      <c r="C12" s="96"/>
      <c r="D12" s="96"/>
      <c r="E12" s="96"/>
      <c r="F12" s="96"/>
      <c r="G12" s="96"/>
      <c r="H12" s="96"/>
      <c r="I12" s="96"/>
      <c r="J12" s="96"/>
      <c r="K12" s="96"/>
      <c r="L12" s="96"/>
      <c r="M12" s="52" t="s">
        <v>49</v>
      </c>
      <c r="N12" s="96"/>
      <c r="O12" s="96"/>
      <c r="Q12" s="96"/>
      <c r="R12" s="96"/>
      <c r="S12" s="96"/>
      <c r="T12" s="96"/>
      <c r="U12" s="96"/>
      <c r="V12" s="96"/>
      <c r="W12" s="96"/>
    </row>
    <row r="13" spans="1:32" ht="48" x14ac:dyDescent="0.25">
      <c r="A13" s="415" t="s">
        <v>181</v>
      </c>
      <c r="B13" s="54" t="s">
        <v>53</v>
      </c>
      <c r="C13" s="55" t="s">
        <v>56</v>
      </c>
      <c r="D13" s="54" t="s">
        <v>54</v>
      </c>
      <c r="E13" s="55" t="s">
        <v>57</v>
      </c>
      <c r="F13" s="54" t="s">
        <v>55</v>
      </c>
      <c r="G13" s="55" t="s">
        <v>58</v>
      </c>
      <c r="H13" s="54" t="s">
        <v>59</v>
      </c>
      <c r="I13" s="54" t="s">
        <v>60</v>
      </c>
      <c r="J13" s="54" t="s">
        <v>61</v>
      </c>
      <c r="K13" s="56" t="s">
        <v>62</v>
      </c>
      <c r="M13" s="254" t="s">
        <v>181</v>
      </c>
      <c r="N13" s="54" t="s">
        <v>53</v>
      </c>
      <c r="O13" s="54" t="s">
        <v>54</v>
      </c>
      <c r="P13" s="54" t="s">
        <v>55</v>
      </c>
      <c r="Q13" s="58" t="s">
        <v>63</v>
      </c>
      <c r="R13" s="54" t="s">
        <v>59</v>
      </c>
      <c r="S13" s="54" t="s">
        <v>60</v>
      </c>
      <c r="T13" s="54" t="s">
        <v>61</v>
      </c>
      <c r="U13" s="56" t="s">
        <v>62</v>
      </c>
      <c r="AE13" s="152"/>
      <c r="AF13" s="152"/>
    </row>
    <row r="14" spans="1:32" x14ac:dyDescent="0.25">
      <c r="A14" s="412"/>
      <c r="B14" s="86">
        <f>$C$7*$B$7+$F$7</f>
        <v>18.835000000000004</v>
      </c>
      <c r="C14" s="86">
        <v>1.3</v>
      </c>
      <c r="D14" s="86">
        <f>D7*B7</f>
        <v>13.179000000000002</v>
      </c>
      <c r="E14" s="86">
        <v>1.5</v>
      </c>
      <c r="F14" s="86">
        <f>$E$7*B7</f>
        <v>9.5500000000000007</v>
      </c>
      <c r="G14" s="86">
        <v>1.5</v>
      </c>
      <c r="H14" s="86">
        <f>B14*C14</f>
        <v>24.485500000000005</v>
      </c>
      <c r="I14" s="86">
        <f>D14*E14</f>
        <v>19.768500000000003</v>
      </c>
      <c r="J14" s="86">
        <f>F14*G14</f>
        <v>14.325000000000001</v>
      </c>
      <c r="K14" s="12">
        <f>H14+I14+J14</f>
        <v>58.579000000000008</v>
      </c>
      <c r="M14" s="254"/>
      <c r="N14" s="86">
        <f>$C$7*$B$7+$F$7</f>
        <v>18.835000000000004</v>
      </c>
      <c r="O14" s="86">
        <f>D7*B7</f>
        <v>13.179000000000002</v>
      </c>
      <c r="P14" s="86">
        <f>$E$7*B7</f>
        <v>9.5500000000000007</v>
      </c>
      <c r="Q14" s="86">
        <v>0.3</v>
      </c>
      <c r="R14" s="86">
        <f>N14</f>
        <v>18.835000000000004</v>
      </c>
      <c r="S14" s="86">
        <f>O14</f>
        <v>13.179000000000002</v>
      </c>
      <c r="T14" s="86">
        <f>P14*Q14</f>
        <v>2.8650000000000002</v>
      </c>
      <c r="U14" s="12">
        <f>R14+S14+T14</f>
        <v>34.879000000000012</v>
      </c>
      <c r="AE14" s="12"/>
      <c r="AF14" s="12"/>
    </row>
    <row r="15" spans="1:32" ht="48" x14ac:dyDescent="0.25">
      <c r="A15" s="415" t="s">
        <v>180</v>
      </c>
      <c r="B15" s="73" t="s">
        <v>53</v>
      </c>
      <c r="C15" s="85" t="s">
        <v>56</v>
      </c>
      <c r="D15" s="73" t="s">
        <v>54</v>
      </c>
      <c r="E15" s="85" t="s">
        <v>57</v>
      </c>
      <c r="F15" s="73" t="s">
        <v>55</v>
      </c>
      <c r="G15" s="85" t="s">
        <v>58</v>
      </c>
      <c r="H15" s="73" t="s">
        <v>59</v>
      </c>
      <c r="I15" s="73" t="s">
        <v>60</v>
      </c>
      <c r="J15" s="73" t="s">
        <v>61</v>
      </c>
      <c r="K15" s="56" t="s">
        <v>62</v>
      </c>
      <c r="M15" s="254" t="s">
        <v>180</v>
      </c>
      <c r="N15" s="54" t="s">
        <v>53</v>
      </c>
      <c r="O15" s="73" t="s">
        <v>54</v>
      </c>
      <c r="P15" s="54" t="s">
        <v>55</v>
      </c>
      <c r="Q15" s="58" t="s">
        <v>63</v>
      </c>
      <c r="R15" s="54" t="s">
        <v>59</v>
      </c>
      <c r="S15" s="54" t="s">
        <v>60</v>
      </c>
      <c r="T15" s="54" t="s">
        <v>61</v>
      </c>
      <c r="U15" s="56" t="s">
        <v>62</v>
      </c>
    </row>
    <row r="16" spans="1:32" x14ac:dyDescent="0.25">
      <c r="A16" s="412"/>
      <c r="B16" s="86">
        <f>$C$8*B8+$F$8</f>
        <v>18.580000000000002</v>
      </c>
      <c r="C16" s="86">
        <v>1.3</v>
      </c>
      <c r="D16" s="86">
        <f>D8*B8</f>
        <v>12.972000000000001</v>
      </c>
      <c r="E16" s="86">
        <v>1.5</v>
      </c>
      <c r="F16" s="86">
        <f>$E$8*B8</f>
        <v>9.4</v>
      </c>
      <c r="G16" s="86">
        <v>1.5</v>
      </c>
      <c r="H16" s="86">
        <f>B16*C16</f>
        <v>24.154000000000003</v>
      </c>
      <c r="I16" s="86">
        <f>D16*E16</f>
        <v>19.458000000000002</v>
      </c>
      <c r="J16" s="86">
        <f>F16*G16</f>
        <v>14.100000000000001</v>
      </c>
      <c r="K16" s="12">
        <f>H16+I16+J16</f>
        <v>57.71200000000001</v>
      </c>
      <c r="M16" s="254"/>
      <c r="N16" s="86">
        <f>$C$8*$B$8+$F$8</f>
        <v>18.580000000000002</v>
      </c>
      <c r="O16" s="86">
        <f>D8*B8</f>
        <v>12.972000000000001</v>
      </c>
      <c r="P16" s="86">
        <f>$E$8*B8</f>
        <v>9.4</v>
      </c>
      <c r="Q16" s="86">
        <v>0.3</v>
      </c>
      <c r="R16" s="86">
        <f>N16</f>
        <v>18.580000000000002</v>
      </c>
      <c r="S16" s="86">
        <f>O16</f>
        <v>12.972000000000001</v>
      </c>
      <c r="T16" s="86">
        <f>P16*Q16</f>
        <v>2.82</v>
      </c>
      <c r="U16" s="12">
        <f>R16+S16+T16</f>
        <v>34.372</v>
      </c>
    </row>
    <row r="17" spans="1:30" ht="18.75" x14ac:dyDescent="0.25">
      <c r="A17" s="254"/>
      <c r="B17" s="73"/>
      <c r="C17" s="85"/>
      <c r="D17" s="73"/>
      <c r="E17" s="85"/>
      <c r="F17" s="73"/>
      <c r="G17" s="85"/>
      <c r="H17" s="73"/>
      <c r="I17" s="85"/>
      <c r="J17" s="58"/>
      <c r="K17" s="73"/>
      <c r="L17" s="73"/>
      <c r="M17" s="73"/>
      <c r="N17" s="56"/>
      <c r="Q17" s="254"/>
      <c r="R17" s="54"/>
      <c r="S17" s="55"/>
      <c r="T17" s="73"/>
      <c r="U17" s="55"/>
      <c r="V17" s="54"/>
      <c r="W17" s="58"/>
      <c r="X17" s="54"/>
      <c r="Y17" s="55"/>
      <c r="Z17" s="58"/>
      <c r="AA17" s="54"/>
      <c r="AB17" s="54"/>
      <c r="AC17" s="54"/>
      <c r="AD17" s="56"/>
    </row>
    <row r="18" spans="1:30" x14ac:dyDescent="0.25">
      <c r="A18" s="254"/>
      <c r="B18" s="86"/>
      <c r="C18" s="86"/>
      <c r="D18" s="86"/>
      <c r="E18" s="86"/>
      <c r="F18" s="86"/>
      <c r="G18" s="86"/>
      <c r="H18" s="86"/>
      <c r="I18" s="86"/>
      <c r="J18" s="86"/>
      <c r="K18" s="86"/>
      <c r="L18" s="86"/>
      <c r="M18" s="86"/>
      <c r="N18" s="12"/>
      <c r="Q18" s="254"/>
      <c r="R18" s="86"/>
      <c r="S18" s="86"/>
      <c r="T18" s="86"/>
      <c r="U18" s="86"/>
      <c r="V18" s="86"/>
      <c r="W18" s="86"/>
      <c r="X18" s="86"/>
      <c r="Y18" s="86"/>
      <c r="Z18" s="86"/>
      <c r="AA18" s="86"/>
      <c r="AB18" s="86"/>
      <c r="AC18" s="86"/>
      <c r="AD18" s="12"/>
    </row>
    <row r="19" spans="1:30" ht="18.75" x14ac:dyDescent="0.25">
      <c r="A19" s="59"/>
      <c r="B19" s="73"/>
      <c r="C19" s="85"/>
      <c r="D19" s="73"/>
      <c r="E19" s="85"/>
      <c r="F19" s="73"/>
      <c r="G19" s="85"/>
      <c r="H19" s="73"/>
      <c r="I19" s="85"/>
      <c r="J19" s="58"/>
      <c r="K19" s="73"/>
      <c r="L19" s="73"/>
      <c r="M19" s="73"/>
      <c r="N19" s="56"/>
      <c r="Q19" s="254"/>
      <c r="R19" s="54"/>
      <c r="S19" s="55"/>
      <c r="T19" s="73"/>
      <c r="U19" s="55"/>
      <c r="V19" s="54"/>
      <c r="W19" s="58"/>
      <c r="X19" s="54"/>
      <c r="Y19" s="55"/>
      <c r="Z19" s="58"/>
      <c r="AA19" s="54"/>
      <c r="AB19" s="54"/>
      <c r="AC19" s="54"/>
      <c r="AD19" s="56"/>
    </row>
    <row r="20" spans="1:30" x14ac:dyDescent="0.25">
      <c r="A20" s="59"/>
      <c r="B20" s="86"/>
      <c r="C20" s="86"/>
      <c r="D20" s="86"/>
      <c r="E20" s="86"/>
      <c r="F20" s="86"/>
      <c r="G20" s="86"/>
      <c r="H20" s="86"/>
      <c r="I20" s="86"/>
      <c r="J20" s="86"/>
      <c r="K20" s="86"/>
      <c r="L20" s="86"/>
      <c r="M20" s="86"/>
      <c r="N20" s="12"/>
      <c r="Q20" s="254"/>
      <c r="R20" s="86"/>
      <c r="S20" s="86"/>
      <c r="T20" s="86"/>
      <c r="U20" s="86"/>
      <c r="V20" s="86"/>
      <c r="W20" s="86"/>
      <c r="X20" s="86"/>
      <c r="Y20" s="86"/>
      <c r="Z20" s="86"/>
      <c r="AA20" s="86"/>
      <c r="AB20" s="86"/>
      <c r="AC20" s="86"/>
      <c r="AD20" s="12"/>
    </row>
    <row r="21" spans="1:30" ht="18.75" x14ac:dyDescent="0.25">
      <c r="A21" s="59"/>
      <c r="B21" s="73"/>
      <c r="C21" s="85"/>
      <c r="D21" s="73"/>
      <c r="E21" s="85"/>
      <c r="F21" s="73"/>
      <c r="G21" s="85"/>
      <c r="H21" s="73"/>
      <c r="I21" s="85"/>
      <c r="J21" s="58"/>
      <c r="K21" s="73"/>
      <c r="L21" s="73"/>
      <c r="M21" s="73"/>
      <c r="N21" s="56"/>
      <c r="Q21" s="254"/>
      <c r="R21" s="54"/>
      <c r="S21" s="55"/>
      <c r="T21" s="73"/>
      <c r="U21" s="55"/>
      <c r="V21" s="54"/>
      <c r="W21" s="58"/>
      <c r="X21" s="54"/>
      <c r="Y21" s="55"/>
      <c r="Z21" s="58"/>
      <c r="AA21" s="54"/>
      <c r="AB21" s="54"/>
      <c r="AC21" s="54"/>
      <c r="AD21" s="56"/>
    </row>
    <row r="22" spans="1:30" x14ac:dyDescent="0.25">
      <c r="A22" s="238"/>
      <c r="B22" s="86"/>
      <c r="C22" s="86"/>
      <c r="D22" s="86"/>
      <c r="E22" s="86"/>
      <c r="F22" s="86"/>
      <c r="G22" s="86"/>
      <c r="H22" s="86"/>
      <c r="I22" s="86"/>
      <c r="J22" s="86"/>
      <c r="K22" s="86"/>
      <c r="L22" s="86"/>
      <c r="M22" s="86"/>
      <c r="N22" s="12"/>
      <c r="Q22" s="256"/>
      <c r="R22" s="86"/>
      <c r="S22" s="86"/>
      <c r="T22" s="86"/>
      <c r="U22" s="86"/>
      <c r="V22" s="86"/>
      <c r="W22" s="86"/>
      <c r="X22" s="86"/>
      <c r="Y22" s="86"/>
      <c r="Z22" s="86"/>
      <c r="AA22" s="86"/>
      <c r="AB22" s="86"/>
      <c r="AC22" s="86"/>
      <c r="AD22" s="12"/>
    </row>
    <row r="24" spans="1:30" ht="15" customHeight="1" x14ac:dyDescent="0.25"/>
    <row r="25" spans="1:30" ht="15" customHeight="1" x14ac:dyDescent="0.25"/>
    <row r="37" spans="1:34" ht="15" customHeight="1" x14ac:dyDescent="0.25"/>
    <row r="38" spans="1:34" ht="18.75" x14ac:dyDescent="0.25">
      <c r="S38" s="54"/>
      <c r="T38" s="55"/>
      <c r="U38" s="54"/>
      <c r="V38" s="55"/>
      <c r="W38" s="54"/>
      <c r="X38" s="55"/>
      <c r="Y38" s="54"/>
      <c r="Z38" s="55"/>
      <c r="AA38" s="113"/>
      <c r="AB38" s="54"/>
      <c r="AC38" s="54"/>
      <c r="AD38" s="54"/>
      <c r="AE38" s="56"/>
      <c r="AF38" s="152"/>
      <c r="AG38" s="152"/>
    </row>
    <row r="39" spans="1:34" ht="18.75" x14ac:dyDescent="0.25">
      <c r="B39" s="54"/>
      <c r="C39" s="55"/>
      <c r="D39" s="54"/>
      <c r="E39" s="55"/>
      <c r="F39" s="54"/>
      <c r="G39" s="55"/>
      <c r="H39" s="54"/>
      <c r="I39" s="55"/>
      <c r="J39" s="113"/>
      <c r="K39" s="54"/>
      <c r="L39" s="54"/>
      <c r="M39" s="54"/>
      <c r="N39" s="56"/>
      <c r="O39" s="2"/>
      <c r="P39" s="2"/>
      <c r="S39" s="86"/>
      <c r="T39" s="86"/>
      <c r="U39" s="86"/>
      <c r="V39" s="86"/>
      <c r="W39" s="86"/>
      <c r="X39" s="86"/>
      <c r="Y39" s="86"/>
      <c r="Z39" s="86"/>
      <c r="AA39" s="86"/>
      <c r="AB39" s="86"/>
      <c r="AC39" s="86"/>
      <c r="AD39" s="86"/>
      <c r="AE39" s="12"/>
      <c r="AF39" s="12"/>
      <c r="AG39" s="12"/>
    </row>
    <row r="40" spans="1:34" ht="18.75" x14ac:dyDescent="0.25">
      <c r="B40" s="86"/>
      <c r="C40" s="86"/>
      <c r="D40" s="86"/>
      <c r="E40" s="86"/>
      <c r="F40" s="86"/>
      <c r="G40" s="86"/>
      <c r="H40" s="86"/>
      <c r="I40" s="86"/>
      <c r="J40" s="86"/>
      <c r="K40" s="86"/>
      <c r="L40" s="86"/>
      <c r="M40" s="86"/>
      <c r="N40" s="12"/>
      <c r="O40" s="12"/>
      <c r="P40" s="12"/>
      <c r="S40" s="73"/>
      <c r="T40" s="55"/>
      <c r="U40" s="73"/>
      <c r="V40" s="85"/>
      <c r="W40" s="73"/>
      <c r="X40" s="85"/>
      <c r="Y40" s="73"/>
      <c r="Z40" s="85"/>
      <c r="AA40" s="58"/>
      <c r="AB40" s="73"/>
      <c r="AC40" s="73"/>
      <c r="AD40" s="73"/>
      <c r="AE40" s="56"/>
    </row>
    <row r="41" spans="1:34" ht="18.75" x14ac:dyDescent="0.25">
      <c r="B41" s="73"/>
      <c r="C41" s="55"/>
      <c r="D41" s="73"/>
      <c r="E41" s="85"/>
      <c r="F41" s="73"/>
      <c r="G41" s="85"/>
      <c r="H41" s="73"/>
      <c r="I41" s="85"/>
      <c r="J41" s="58"/>
      <c r="K41" s="73"/>
      <c r="L41" s="73"/>
      <c r="M41" s="73"/>
      <c r="N41" s="56"/>
      <c r="S41" s="86"/>
      <c r="T41" s="86"/>
      <c r="U41" s="86"/>
      <c r="V41" s="86"/>
      <c r="W41" s="86"/>
      <c r="X41" s="86"/>
      <c r="Y41" s="86"/>
      <c r="Z41" s="86"/>
      <c r="AA41" s="86"/>
      <c r="AB41" s="86"/>
      <c r="AC41" s="86"/>
      <c r="AD41" s="86"/>
      <c r="AE41" s="12"/>
    </row>
    <row r="42" spans="1:34" ht="18.75" x14ac:dyDescent="0.25">
      <c r="B42" s="86"/>
      <c r="C42" s="86"/>
      <c r="D42" s="86"/>
      <c r="E42" s="86"/>
      <c r="F42" s="86"/>
      <c r="G42" s="86"/>
      <c r="H42" s="86"/>
      <c r="I42" s="86"/>
      <c r="J42" s="86"/>
      <c r="K42" s="86"/>
      <c r="L42" s="86"/>
      <c r="M42" s="86"/>
      <c r="N42" s="12"/>
      <c r="S42" s="73"/>
      <c r="T42" s="55"/>
      <c r="U42" s="73"/>
      <c r="V42" s="85"/>
      <c r="W42" s="73"/>
      <c r="X42" s="85"/>
      <c r="Y42" s="73"/>
      <c r="Z42" s="85"/>
      <c r="AA42" s="58"/>
      <c r="AB42" s="73"/>
      <c r="AC42" s="73"/>
      <c r="AD42" s="73"/>
      <c r="AE42" s="56"/>
    </row>
    <row r="43" spans="1:34" ht="18.75" x14ac:dyDescent="0.25">
      <c r="B43" s="73"/>
      <c r="C43" s="55"/>
      <c r="D43" s="73"/>
      <c r="E43" s="85"/>
      <c r="F43" s="73"/>
      <c r="G43" s="85"/>
      <c r="H43" s="73"/>
      <c r="I43" s="85"/>
      <c r="J43" s="58"/>
      <c r="K43" s="73"/>
      <c r="L43" s="73"/>
      <c r="M43" s="73"/>
      <c r="N43" s="56"/>
      <c r="S43" s="86"/>
      <c r="T43" s="86"/>
      <c r="U43" s="86"/>
      <c r="V43" s="86"/>
      <c r="W43" s="86"/>
      <c r="X43" s="86"/>
      <c r="Y43" s="86"/>
      <c r="Z43" s="86"/>
      <c r="AA43" s="86"/>
      <c r="AB43" s="86"/>
      <c r="AC43" s="86"/>
      <c r="AD43" s="86"/>
      <c r="AE43" s="12"/>
    </row>
    <row r="44" spans="1:34" ht="18.75" x14ac:dyDescent="0.25">
      <c r="B44" s="86"/>
      <c r="C44" s="86"/>
      <c r="D44" s="86"/>
      <c r="E44" s="86"/>
      <c r="F44" s="86"/>
      <c r="G44" s="86"/>
      <c r="H44" s="86"/>
      <c r="I44" s="86"/>
      <c r="J44" s="86"/>
      <c r="K44" s="86"/>
      <c r="L44" s="86"/>
      <c r="M44" s="86"/>
      <c r="N44" s="12"/>
      <c r="S44" s="73"/>
      <c r="T44" s="55"/>
      <c r="U44" s="73"/>
      <c r="V44" s="85"/>
      <c r="W44" s="73"/>
      <c r="X44" s="85"/>
      <c r="Y44" s="73"/>
      <c r="Z44" s="85"/>
      <c r="AA44" s="58"/>
      <c r="AB44" s="73"/>
      <c r="AC44" s="73"/>
      <c r="AD44" s="73"/>
      <c r="AE44" s="56"/>
    </row>
    <row r="45" spans="1:34" ht="18.75" x14ac:dyDescent="0.25">
      <c r="B45" s="73"/>
      <c r="C45" s="55"/>
      <c r="D45" s="73"/>
      <c r="E45" s="85"/>
      <c r="F45" s="73"/>
      <c r="G45" s="85"/>
      <c r="H45" s="73"/>
      <c r="I45" s="85"/>
      <c r="J45" s="58"/>
      <c r="K45" s="73"/>
      <c r="L45" s="73"/>
      <c r="M45" s="73"/>
      <c r="N45" s="56"/>
      <c r="S45" s="86"/>
      <c r="T45" s="86"/>
      <c r="U45" s="86"/>
      <c r="V45" s="86"/>
      <c r="W45" s="86"/>
      <c r="X45" s="86"/>
      <c r="Y45" s="86"/>
      <c r="Z45" s="86"/>
      <c r="AA45" s="86"/>
      <c r="AB45" s="86"/>
      <c r="AC45" s="86"/>
      <c r="AD45" s="86"/>
      <c r="AE45" s="12"/>
    </row>
    <row r="46" spans="1:34" ht="18.75" x14ac:dyDescent="0.25">
      <c r="B46" s="86"/>
      <c r="C46" s="86"/>
      <c r="D46" s="86"/>
      <c r="E46" s="86"/>
      <c r="F46" s="86"/>
      <c r="G46" s="86"/>
      <c r="H46" s="86"/>
      <c r="I46" s="86"/>
      <c r="J46" s="86"/>
      <c r="K46" s="86"/>
      <c r="L46" s="86"/>
      <c r="M46" s="86"/>
      <c r="N46" s="12"/>
      <c r="R46" s="55"/>
      <c r="S46" s="73"/>
      <c r="T46" s="85"/>
      <c r="U46" s="73"/>
      <c r="V46" s="85"/>
      <c r="W46" s="73"/>
      <c r="X46" s="85"/>
      <c r="Y46" s="58"/>
      <c r="Z46" s="73"/>
      <c r="AA46" s="73"/>
      <c r="AB46" s="73"/>
      <c r="AC46" s="56"/>
    </row>
    <row r="47" spans="1:34" ht="18.75" x14ac:dyDescent="0.25">
      <c r="A47" s="55"/>
      <c r="B47" s="73"/>
      <c r="C47" s="85"/>
      <c r="D47" s="73"/>
      <c r="E47" s="85"/>
      <c r="F47" s="73"/>
      <c r="G47" s="85"/>
      <c r="H47" s="58"/>
      <c r="I47" s="73"/>
      <c r="J47" s="73"/>
      <c r="K47" s="73"/>
      <c r="L47" s="56"/>
      <c r="R47" s="86"/>
      <c r="S47" s="86"/>
      <c r="T47" s="86"/>
      <c r="U47" s="86"/>
      <c r="V47" s="86"/>
      <c r="W47" s="86"/>
      <c r="X47" s="86"/>
      <c r="Y47" s="86"/>
      <c r="Z47" s="86"/>
      <c r="AA47" s="86"/>
      <c r="AB47" s="86"/>
      <c r="AC47" s="12"/>
      <c r="AE47" s="73"/>
      <c r="AF47" s="73"/>
      <c r="AG47" s="73"/>
      <c r="AH47" s="56"/>
    </row>
    <row r="48" spans="1:34" ht="18.75" x14ac:dyDescent="0.25">
      <c r="A48" s="86"/>
      <c r="B48" s="86"/>
      <c r="C48" s="86"/>
      <c r="D48" s="86"/>
      <c r="E48" s="86"/>
      <c r="F48" s="86"/>
      <c r="G48" s="86"/>
      <c r="H48" s="86"/>
      <c r="I48" s="86"/>
      <c r="J48" s="86"/>
      <c r="K48" s="86"/>
      <c r="L48" s="12"/>
      <c r="N48" s="73"/>
      <c r="O48" s="73"/>
      <c r="P48" s="73"/>
      <c r="Q48" s="56"/>
      <c r="S48" s="73"/>
      <c r="T48" s="55"/>
      <c r="U48" s="73"/>
      <c r="V48" s="85"/>
      <c r="W48" s="73"/>
      <c r="X48" s="85"/>
      <c r="Y48" s="73"/>
      <c r="Z48" s="85"/>
      <c r="AA48" s="58"/>
      <c r="AB48" s="73"/>
      <c r="AC48" s="73"/>
      <c r="AD48" s="73"/>
      <c r="AE48" s="56"/>
    </row>
    <row r="49" spans="1:33" ht="18.75" x14ac:dyDescent="0.25">
      <c r="B49" s="73"/>
      <c r="C49" s="55"/>
      <c r="D49" s="73"/>
      <c r="E49" s="85"/>
      <c r="F49" s="73"/>
      <c r="G49" s="85"/>
      <c r="H49" s="73"/>
      <c r="I49" s="85"/>
      <c r="J49" s="58"/>
      <c r="K49" s="73"/>
      <c r="L49" s="73"/>
      <c r="M49" s="73"/>
      <c r="N49" s="56"/>
      <c r="S49" s="86"/>
      <c r="T49" s="86"/>
      <c r="U49" s="86"/>
      <c r="V49" s="86"/>
      <c r="W49" s="86"/>
      <c r="X49" s="86"/>
      <c r="Y49" s="86"/>
      <c r="Z49" s="86"/>
      <c r="AA49" s="86"/>
      <c r="AB49" s="86"/>
      <c r="AC49" s="86"/>
      <c r="AD49" s="86"/>
      <c r="AE49" s="12"/>
    </row>
    <row r="50" spans="1:33" ht="18.75" x14ac:dyDescent="0.25">
      <c r="B50" s="86"/>
      <c r="C50" s="86"/>
      <c r="D50" s="86"/>
      <c r="E50" s="86"/>
      <c r="F50" s="86"/>
      <c r="G50" s="86"/>
      <c r="H50" s="86"/>
      <c r="I50" s="86"/>
      <c r="J50" s="86"/>
      <c r="K50" s="86"/>
      <c r="L50" s="86"/>
      <c r="M50" s="86"/>
      <c r="N50" s="12"/>
      <c r="S50" s="73"/>
      <c r="T50" s="55"/>
      <c r="U50" s="73"/>
      <c r="V50" s="85"/>
      <c r="W50" s="73"/>
      <c r="X50" s="85"/>
      <c r="Y50" s="73"/>
      <c r="Z50" s="85"/>
      <c r="AA50" s="58"/>
      <c r="AB50" s="73"/>
      <c r="AC50" s="73"/>
      <c r="AD50" s="73"/>
      <c r="AE50" s="56"/>
    </row>
    <row r="51" spans="1:33" ht="18.75" x14ac:dyDescent="0.25">
      <c r="B51" s="73"/>
      <c r="C51" s="55"/>
      <c r="D51" s="73"/>
      <c r="E51" s="85"/>
      <c r="F51" s="73"/>
      <c r="G51" s="85"/>
      <c r="H51" s="73"/>
      <c r="I51" s="85"/>
      <c r="J51" s="58"/>
      <c r="K51" s="73"/>
      <c r="L51" s="73"/>
      <c r="M51" s="73"/>
      <c r="N51" s="56"/>
      <c r="S51" s="86"/>
      <c r="T51" s="86"/>
      <c r="U51" s="86"/>
      <c r="V51" s="86"/>
      <c r="W51" s="86"/>
      <c r="X51" s="86"/>
      <c r="Y51" s="86"/>
      <c r="Z51" s="86"/>
      <c r="AA51" s="86"/>
      <c r="AB51" s="86"/>
      <c r="AC51" s="86"/>
      <c r="AD51" s="86"/>
      <c r="AE51" s="12"/>
    </row>
    <row r="52" spans="1:33" ht="18.75" x14ac:dyDescent="0.25">
      <c r="B52" s="86"/>
      <c r="C52" s="86"/>
      <c r="D52" s="86"/>
      <c r="E52" s="86"/>
      <c r="F52" s="86"/>
      <c r="G52" s="86"/>
      <c r="H52" s="86"/>
      <c r="I52" s="86"/>
      <c r="J52" s="86"/>
      <c r="K52" s="86"/>
      <c r="L52" s="86"/>
      <c r="M52" s="86"/>
      <c r="N52" s="12"/>
      <c r="R52" s="55"/>
      <c r="S52" s="73"/>
      <c r="T52" s="85"/>
      <c r="U52" s="73"/>
      <c r="V52" s="85"/>
      <c r="W52" s="73"/>
      <c r="X52" s="85"/>
      <c r="Y52" s="58"/>
      <c r="Z52" s="73"/>
      <c r="AA52" s="73"/>
      <c r="AB52" s="73"/>
      <c r="AC52" s="56"/>
    </row>
    <row r="53" spans="1:33" ht="18.75" x14ac:dyDescent="0.25">
      <c r="A53" s="55"/>
      <c r="B53" s="73"/>
      <c r="C53" s="85"/>
      <c r="D53" s="73"/>
      <c r="E53" s="85"/>
      <c r="F53" s="73"/>
      <c r="G53" s="85"/>
      <c r="H53" s="58"/>
      <c r="I53" s="73"/>
      <c r="J53" s="73"/>
      <c r="K53" s="73"/>
      <c r="L53" s="56"/>
      <c r="R53" s="59"/>
      <c r="T53" s="73"/>
      <c r="U53" s="55"/>
      <c r="V53" s="73"/>
      <c r="W53" s="85"/>
      <c r="X53" s="73"/>
      <c r="Y53" s="85"/>
      <c r="Z53" s="73"/>
      <c r="AA53" s="85"/>
      <c r="AB53" s="58"/>
      <c r="AC53" s="73"/>
      <c r="AD53" s="73"/>
      <c r="AE53" s="73"/>
      <c r="AF53" s="56"/>
    </row>
    <row r="54" spans="1:33" ht="18.75" x14ac:dyDescent="0.25">
      <c r="A54" s="59"/>
      <c r="C54" s="73"/>
      <c r="D54" s="55"/>
      <c r="E54" s="73"/>
      <c r="F54" s="85"/>
      <c r="G54" s="73"/>
      <c r="H54" s="85"/>
      <c r="I54" s="73"/>
      <c r="J54" s="85"/>
      <c r="K54" s="58"/>
      <c r="L54" s="73"/>
      <c r="M54" s="73"/>
      <c r="N54" s="73"/>
      <c r="O54" s="56"/>
      <c r="R54" s="59"/>
      <c r="T54" s="86"/>
      <c r="U54" s="86"/>
      <c r="V54" s="86"/>
      <c r="W54" s="86"/>
      <c r="X54" s="86"/>
      <c r="Y54" s="86"/>
      <c r="Z54" s="86"/>
      <c r="AA54" s="86"/>
      <c r="AB54" s="86"/>
      <c r="AC54" s="86"/>
      <c r="AD54" s="86"/>
      <c r="AE54" s="86"/>
      <c r="AF54" s="12"/>
    </row>
    <row r="55" spans="1:33" ht="18.75" x14ac:dyDescent="0.25">
      <c r="A55" s="59"/>
      <c r="C55" s="86"/>
      <c r="D55" s="86"/>
      <c r="E55" s="86"/>
      <c r="F55" s="86"/>
      <c r="G55" s="86"/>
      <c r="H55" s="86"/>
      <c r="I55" s="86"/>
      <c r="J55" s="86"/>
      <c r="K55" s="86"/>
      <c r="L55" s="86"/>
      <c r="M55" s="86"/>
      <c r="N55" s="86"/>
      <c r="O55" s="12"/>
      <c r="R55" s="59"/>
      <c r="T55" s="73"/>
      <c r="U55" s="55"/>
      <c r="V55" s="73"/>
      <c r="W55" s="85"/>
      <c r="X55" s="73"/>
      <c r="Y55" s="85"/>
      <c r="Z55" s="73"/>
      <c r="AA55" s="85"/>
      <c r="AB55" s="58"/>
      <c r="AC55" s="73"/>
      <c r="AD55" s="73"/>
      <c r="AE55" s="73"/>
      <c r="AF55" s="56"/>
    </row>
    <row r="56" spans="1:33" ht="18.75" x14ac:dyDescent="0.25">
      <c r="A56" s="59"/>
      <c r="C56" s="73"/>
      <c r="D56" s="55"/>
      <c r="E56" s="73"/>
      <c r="F56" s="85"/>
      <c r="G56" s="73"/>
      <c r="H56" s="85"/>
      <c r="I56" s="73"/>
      <c r="J56" s="85"/>
      <c r="K56" s="58"/>
      <c r="L56" s="73"/>
      <c r="M56" s="73"/>
      <c r="N56" s="73"/>
      <c r="O56" s="56"/>
      <c r="R56" s="59"/>
      <c r="T56" s="86"/>
      <c r="U56" s="86"/>
      <c r="V56" s="86"/>
      <c r="W56" s="86"/>
      <c r="X56" s="86"/>
      <c r="Y56" s="86"/>
      <c r="Z56" s="86"/>
      <c r="AA56" s="86"/>
      <c r="AB56" s="86"/>
      <c r="AC56" s="86"/>
      <c r="AD56" s="86"/>
      <c r="AE56" s="86"/>
      <c r="AF56" s="12"/>
    </row>
    <row r="57" spans="1:33" ht="18.75" x14ac:dyDescent="0.25">
      <c r="A57" s="59"/>
      <c r="C57" s="86"/>
      <c r="D57" s="86"/>
      <c r="E57" s="86"/>
      <c r="F57" s="86"/>
      <c r="G57" s="86"/>
      <c r="H57" s="86"/>
      <c r="I57" s="86"/>
      <c r="J57" s="86"/>
      <c r="K57" s="86"/>
      <c r="L57" s="86"/>
      <c r="M57" s="86"/>
      <c r="N57" s="86"/>
      <c r="O57" s="12"/>
      <c r="R57" s="59"/>
      <c r="S57" s="55"/>
      <c r="T57" s="73"/>
      <c r="U57" s="85"/>
      <c r="V57" s="73"/>
      <c r="W57" s="85"/>
      <c r="X57" s="73"/>
      <c r="Y57" s="85"/>
      <c r="Z57" s="58"/>
      <c r="AA57" s="73"/>
      <c r="AB57" s="73"/>
      <c r="AC57" s="73"/>
      <c r="AD57" s="56"/>
    </row>
    <row r="58" spans="1:33" ht="18.75" x14ac:dyDescent="0.25">
      <c r="A58" s="59"/>
      <c r="B58" s="55"/>
      <c r="C58" s="73"/>
      <c r="D58" s="85"/>
      <c r="E58" s="73"/>
      <c r="F58" s="85"/>
      <c r="G58" s="73"/>
      <c r="H58" s="85"/>
      <c r="I58" s="58"/>
      <c r="J58" s="73"/>
      <c r="K58" s="73"/>
      <c r="L58" s="73"/>
      <c r="M58" s="56"/>
      <c r="R58" s="238"/>
      <c r="S58" s="12"/>
      <c r="T58" s="255"/>
      <c r="U58" s="86"/>
      <c r="V58" s="255"/>
      <c r="W58" s="12"/>
      <c r="X58" s="255"/>
      <c r="Y58" s="255"/>
      <c r="Z58" s="255"/>
      <c r="AA58" s="255"/>
      <c r="AB58" s="255"/>
      <c r="AC58" s="12"/>
      <c r="AD58" s="12"/>
      <c r="AE58" s="12"/>
      <c r="AF58" s="12"/>
    </row>
    <row r="59" spans="1:33" ht="18.75" x14ac:dyDescent="0.25">
      <c r="A59" s="238"/>
      <c r="B59" s="12"/>
      <c r="C59" s="78"/>
      <c r="D59" s="86"/>
      <c r="E59" s="78"/>
      <c r="F59" s="12"/>
      <c r="G59" s="78"/>
      <c r="H59" s="78"/>
      <c r="I59" s="78"/>
      <c r="J59" s="78"/>
      <c r="K59" s="78"/>
      <c r="L59" s="12"/>
      <c r="M59" s="12"/>
      <c r="N59" s="12"/>
      <c r="O59" s="12"/>
      <c r="R59" s="59"/>
      <c r="S59" s="73"/>
      <c r="T59" s="55"/>
      <c r="U59" s="73"/>
      <c r="V59" s="85"/>
      <c r="W59" s="54"/>
      <c r="X59" s="55"/>
      <c r="Y59" s="113"/>
      <c r="Z59" s="54"/>
      <c r="AA59" s="55"/>
      <c r="AB59" s="113"/>
      <c r="AC59" s="73"/>
      <c r="AD59" s="73"/>
      <c r="AE59" s="73"/>
      <c r="AF59" s="56"/>
    </row>
    <row r="60" spans="1:33" ht="18.75" x14ac:dyDescent="0.25">
      <c r="A60" s="59"/>
      <c r="B60" s="73"/>
      <c r="C60" s="55"/>
      <c r="D60" s="73"/>
      <c r="E60" s="85"/>
      <c r="F60" s="54"/>
      <c r="G60" s="55"/>
      <c r="H60" s="113"/>
      <c r="I60" s="54"/>
      <c r="J60" s="55"/>
      <c r="K60" s="113"/>
      <c r="L60" s="73"/>
      <c r="M60" s="73"/>
      <c r="N60" s="73"/>
      <c r="O60" s="56"/>
      <c r="R60" s="238"/>
      <c r="S60" s="12"/>
      <c r="T60" s="255"/>
      <c r="U60" s="86"/>
      <c r="V60" s="255"/>
      <c r="W60" s="12"/>
      <c r="X60" s="255"/>
      <c r="Y60" s="255"/>
      <c r="Z60" s="255"/>
      <c r="AA60" s="255"/>
      <c r="AB60" s="255"/>
      <c r="AC60" s="12"/>
      <c r="AD60" s="12"/>
      <c r="AE60" s="12"/>
      <c r="AF60" s="12"/>
    </row>
    <row r="61" spans="1:33" ht="18.75" x14ac:dyDescent="0.25">
      <c r="A61" s="238"/>
      <c r="B61" s="12"/>
      <c r="C61" s="78"/>
      <c r="D61" s="86"/>
      <c r="E61" s="78"/>
      <c r="F61" s="12"/>
      <c r="G61" s="78"/>
      <c r="H61" s="78"/>
      <c r="I61" s="78"/>
      <c r="J61" s="78"/>
      <c r="K61" s="78"/>
      <c r="L61" s="12"/>
      <c r="M61" s="12"/>
      <c r="N61" s="12"/>
      <c r="O61" s="12"/>
      <c r="R61" s="59"/>
      <c r="T61" s="73"/>
      <c r="U61" s="55"/>
      <c r="V61" s="73"/>
      <c r="W61" s="85"/>
      <c r="X61" s="73"/>
      <c r="Y61" s="85"/>
      <c r="Z61" s="73"/>
      <c r="AA61" s="85"/>
      <c r="AB61" s="58"/>
      <c r="AC61" s="73"/>
      <c r="AD61" s="73"/>
      <c r="AE61" s="73"/>
      <c r="AF61" s="56"/>
    </row>
    <row r="62" spans="1:33" ht="18.75" x14ac:dyDescent="0.25">
      <c r="A62" s="59"/>
      <c r="C62" s="73"/>
      <c r="D62" s="55"/>
      <c r="E62" s="73"/>
      <c r="F62" s="85"/>
      <c r="G62" s="73"/>
      <c r="H62" s="85"/>
      <c r="I62" s="73"/>
      <c r="J62" s="85"/>
      <c r="K62" s="58"/>
      <c r="L62" s="73"/>
      <c r="M62" s="73"/>
      <c r="N62" s="73"/>
      <c r="O62" s="56"/>
      <c r="R62" s="59"/>
      <c r="T62" s="86"/>
      <c r="U62" s="86"/>
      <c r="V62" s="86"/>
      <c r="W62" s="86"/>
      <c r="X62" s="86"/>
      <c r="Y62" s="86"/>
      <c r="Z62" s="86"/>
      <c r="AA62" s="86"/>
      <c r="AB62" s="86"/>
      <c r="AC62" s="86"/>
      <c r="AD62" s="86"/>
      <c r="AE62" s="86"/>
      <c r="AF62" s="12"/>
    </row>
    <row r="63" spans="1:33" ht="18.75" x14ac:dyDescent="0.25">
      <c r="A63" s="59"/>
      <c r="C63" s="86"/>
      <c r="D63" s="86"/>
      <c r="E63" s="86"/>
      <c r="F63" s="86"/>
      <c r="G63" s="86"/>
      <c r="H63" s="86"/>
      <c r="I63" s="86"/>
      <c r="J63" s="86"/>
      <c r="K63" s="86"/>
      <c r="L63" s="86"/>
      <c r="M63" s="86"/>
      <c r="N63" s="86"/>
      <c r="O63" s="12"/>
      <c r="R63" s="59"/>
      <c r="T63" s="73"/>
      <c r="U63" s="55"/>
      <c r="V63" s="73"/>
      <c r="W63" s="85"/>
      <c r="X63" s="73"/>
      <c r="Y63" s="85"/>
      <c r="Z63" s="73"/>
      <c r="AA63" s="85"/>
      <c r="AB63" s="58"/>
      <c r="AC63" s="73"/>
      <c r="AD63" s="73"/>
      <c r="AE63" s="73"/>
      <c r="AF63" s="56"/>
    </row>
    <row r="64" spans="1:33" ht="18.75" x14ac:dyDescent="0.25">
      <c r="A64" s="59"/>
      <c r="C64" s="73"/>
      <c r="D64" s="55"/>
      <c r="E64" s="73"/>
      <c r="F64" s="85"/>
      <c r="G64" s="73"/>
      <c r="H64" s="85"/>
      <c r="I64" s="73"/>
      <c r="J64" s="85"/>
      <c r="K64" s="58"/>
      <c r="L64" s="73"/>
      <c r="M64" s="73"/>
      <c r="N64" s="73"/>
      <c r="O64" s="56"/>
      <c r="R64" s="52"/>
      <c r="S64" s="96"/>
      <c r="T64" s="96"/>
      <c r="U64" s="96"/>
      <c r="V64" s="96"/>
      <c r="W64" s="96"/>
      <c r="X64" s="96"/>
      <c r="Y64" s="96"/>
      <c r="Z64" s="96"/>
      <c r="AA64" s="96"/>
      <c r="AB64" s="96"/>
      <c r="AC64" s="96"/>
      <c r="AD64" s="96"/>
      <c r="AE64" s="96"/>
      <c r="AF64" s="52"/>
      <c r="AG64" s="52"/>
    </row>
    <row r="65" spans="1:37" ht="18.75" x14ac:dyDescent="0.25">
      <c r="A65" s="52"/>
      <c r="B65" s="96"/>
      <c r="C65" s="96"/>
      <c r="D65" s="96"/>
      <c r="E65" s="96"/>
      <c r="F65" s="96"/>
      <c r="G65" s="96"/>
      <c r="H65" s="96"/>
      <c r="I65" s="96"/>
      <c r="J65" s="96"/>
      <c r="K65" s="96"/>
      <c r="L65" s="96"/>
      <c r="M65" s="96"/>
      <c r="N65" s="96"/>
      <c r="O65" s="52"/>
      <c r="P65" s="52"/>
      <c r="R65" s="59"/>
      <c r="S65" s="54"/>
      <c r="T65" s="55"/>
      <c r="U65" s="54"/>
      <c r="V65" s="55"/>
      <c r="W65" s="54"/>
      <c r="X65" s="55"/>
      <c r="Y65" s="54"/>
      <c r="Z65" s="55"/>
      <c r="AA65" s="113"/>
      <c r="AB65" s="54"/>
      <c r="AC65" s="54"/>
      <c r="AD65" s="54"/>
      <c r="AE65" s="56"/>
      <c r="AF65" s="152"/>
      <c r="AG65" s="152"/>
    </row>
    <row r="66" spans="1:37" ht="18.75" x14ac:dyDescent="0.25">
      <c r="A66" s="59"/>
      <c r="B66" s="54"/>
      <c r="C66" s="55"/>
      <c r="D66" s="54"/>
      <c r="E66" s="55"/>
      <c r="F66" s="54"/>
      <c r="G66" s="55"/>
      <c r="H66" s="54"/>
      <c r="I66" s="55"/>
      <c r="J66" s="113"/>
      <c r="K66" s="54"/>
      <c r="L66" s="54"/>
      <c r="M66" s="54"/>
      <c r="N66" s="56"/>
      <c r="O66" s="2"/>
      <c r="P66" s="2"/>
      <c r="R66" s="59"/>
      <c r="S66" s="86"/>
      <c r="T66" s="86"/>
      <c r="U66" s="86"/>
      <c r="V66" s="86"/>
      <c r="W66" s="86"/>
      <c r="X66" s="86"/>
      <c r="Y66" s="86"/>
      <c r="Z66" s="86"/>
      <c r="AA66" s="86"/>
      <c r="AB66" s="86"/>
      <c r="AC66" s="86"/>
      <c r="AD66" s="86"/>
      <c r="AE66" s="12"/>
      <c r="AF66" s="12"/>
      <c r="AG66" s="12"/>
    </row>
    <row r="67" spans="1:37" ht="18.75" x14ac:dyDescent="0.25">
      <c r="A67" s="59"/>
      <c r="B67" s="86"/>
      <c r="C67" s="86"/>
      <c r="D67" s="86"/>
      <c r="E67" s="86"/>
      <c r="F67" s="86"/>
      <c r="G67" s="86"/>
      <c r="H67" s="86"/>
      <c r="I67" s="86"/>
      <c r="J67" s="86"/>
      <c r="K67" s="86"/>
      <c r="L67" s="86"/>
      <c r="M67" s="86"/>
      <c r="N67" s="12"/>
      <c r="O67" s="12"/>
      <c r="P67" s="12"/>
      <c r="R67" s="59"/>
      <c r="S67" s="73"/>
      <c r="T67" s="85"/>
      <c r="U67" s="73"/>
      <c r="V67" s="85"/>
      <c r="W67" s="73"/>
      <c r="X67" s="85"/>
      <c r="Y67" s="73"/>
      <c r="Z67" s="85"/>
      <c r="AA67" s="58"/>
      <c r="AB67" s="73"/>
      <c r="AC67" s="73"/>
      <c r="AD67" s="73"/>
      <c r="AE67" s="56"/>
    </row>
    <row r="68" spans="1:37" ht="18.75" x14ac:dyDescent="0.25">
      <c r="A68" s="59"/>
      <c r="B68" s="73"/>
      <c r="C68" s="85"/>
      <c r="D68" s="73"/>
      <c r="E68" s="85"/>
      <c r="F68" s="73"/>
      <c r="G68" s="85"/>
      <c r="H68" s="73"/>
      <c r="I68" s="85"/>
      <c r="J68" s="58"/>
      <c r="K68" s="73"/>
      <c r="L68" s="73"/>
      <c r="M68" s="73"/>
      <c r="N68" s="56"/>
      <c r="R68" s="59"/>
      <c r="S68" s="86"/>
      <c r="T68" s="86"/>
      <c r="U68" s="86"/>
      <c r="V68" s="86"/>
      <c r="W68" s="86"/>
      <c r="X68" s="86"/>
      <c r="Y68" s="86"/>
      <c r="Z68" s="86"/>
      <c r="AA68" s="86"/>
      <c r="AB68" s="86"/>
      <c r="AC68" s="86"/>
      <c r="AD68" s="86"/>
      <c r="AE68" s="12"/>
    </row>
    <row r="69" spans="1:37" ht="18.75" x14ac:dyDescent="0.25">
      <c r="A69" s="59"/>
      <c r="B69" s="86"/>
      <c r="C69" s="86"/>
      <c r="D69" s="86"/>
      <c r="E69" s="86"/>
      <c r="F69" s="86"/>
      <c r="G69" s="86"/>
      <c r="H69" s="86"/>
      <c r="I69" s="86"/>
      <c r="J69" s="86"/>
      <c r="K69" s="86"/>
      <c r="L69" s="86"/>
      <c r="M69" s="86"/>
      <c r="N69" s="12"/>
      <c r="R69" s="59"/>
      <c r="S69" s="73"/>
      <c r="T69" s="85"/>
      <c r="U69" s="73"/>
      <c r="V69" s="85"/>
      <c r="W69" s="73"/>
      <c r="X69" s="85"/>
      <c r="Y69" s="73"/>
      <c r="Z69" s="85"/>
      <c r="AA69" s="58"/>
      <c r="AB69" s="73"/>
      <c r="AC69" s="73"/>
      <c r="AD69" s="73"/>
      <c r="AE69" s="56"/>
      <c r="AI69">
        <f>46.46*5*5/8</f>
        <v>145.1875</v>
      </c>
    </row>
    <row r="70" spans="1:37" ht="18.75" x14ac:dyDescent="0.25">
      <c r="A70" s="59"/>
      <c r="B70" s="73"/>
      <c r="C70" s="85"/>
      <c r="D70" s="73"/>
      <c r="E70" s="85"/>
      <c r="F70" s="73"/>
      <c r="G70" s="85"/>
      <c r="H70" s="73"/>
      <c r="I70" s="85"/>
      <c r="J70" s="58"/>
      <c r="K70" s="73"/>
      <c r="L70" s="73"/>
      <c r="M70" s="73"/>
      <c r="N70" s="56"/>
      <c r="R70" s="59"/>
      <c r="S70" s="86"/>
      <c r="T70" s="86"/>
      <c r="U70" s="86"/>
      <c r="V70" s="86"/>
      <c r="W70" s="86"/>
      <c r="X70" s="86"/>
      <c r="Y70" s="86"/>
      <c r="Z70" s="86"/>
      <c r="AA70" s="86"/>
      <c r="AB70" s="86"/>
      <c r="AC70" s="86"/>
      <c r="AD70" s="86"/>
      <c r="AE70" s="12"/>
    </row>
    <row r="71" spans="1:37" ht="18.75" x14ac:dyDescent="0.25">
      <c r="A71" s="59"/>
      <c r="B71" s="86"/>
      <c r="C71" s="86"/>
      <c r="D71" s="86"/>
      <c r="E71" s="86"/>
      <c r="F71" s="86"/>
      <c r="G71" s="86"/>
      <c r="H71" s="86"/>
      <c r="I71" s="86"/>
      <c r="J71" s="86"/>
      <c r="K71" s="86"/>
      <c r="L71" s="86"/>
      <c r="M71" s="86"/>
      <c r="N71" s="12"/>
      <c r="R71" s="59"/>
      <c r="S71" s="73"/>
      <c r="T71" s="85"/>
      <c r="U71" s="73"/>
      <c r="V71" s="85"/>
      <c r="W71" s="73"/>
      <c r="X71" s="85"/>
      <c r="Y71" s="73"/>
      <c r="Z71" s="85"/>
      <c r="AA71" s="58"/>
      <c r="AB71" s="73"/>
      <c r="AC71" s="73"/>
      <c r="AD71" s="73"/>
      <c r="AE71" s="56"/>
      <c r="AJ71">
        <v>272.5</v>
      </c>
    </row>
    <row r="72" spans="1:37" ht="18.75" x14ac:dyDescent="0.25">
      <c r="A72" s="59"/>
      <c r="B72" s="73"/>
      <c r="C72" s="85"/>
      <c r="D72" s="73"/>
      <c r="E72" s="85"/>
      <c r="F72" s="73"/>
      <c r="G72" s="85"/>
      <c r="H72" s="73"/>
      <c r="I72" s="85"/>
      <c r="J72" s="58"/>
      <c r="K72" s="73"/>
      <c r="L72" s="73"/>
      <c r="M72" s="73"/>
      <c r="N72" s="56"/>
      <c r="R72" s="59"/>
      <c r="S72" s="86"/>
      <c r="T72" s="86"/>
      <c r="U72" s="86"/>
      <c r="V72" s="86"/>
      <c r="W72" s="86"/>
      <c r="X72" s="86"/>
      <c r="Y72" s="86"/>
      <c r="Z72" s="86"/>
      <c r="AA72" s="86"/>
      <c r="AB72" s="86"/>
      <c r="AC72" s="86"/>
      <c r="AD72" s="86"/>
      <c r="AE72" s="12"/>
      <c r="AJ72">
        <v>2725000</v>
      </c>
    </row>
    <row r="73" spans="1:37" x14ac:dyDescent="0.25">
      <c r="A73" s="59"/>
      <c r="B73" s="86"/>
      <c r="C73" s="86"/>
      <c r="D73" s="86"/>
      <c r="E73" s="86"/>
      <c r="F73" s="86"/>
      <c r="G73" s="86"/>
      <c r="H73" s="86"/>
      <c r="I73" s="86"/>
      <c r="J73" s="86"/>
      <c r="K73" s="86"/>
      <c r="L73" s="86"/>
      <c r="M73" s="86"/>
      <c r="N73" s="12"/>
      <c r="R73" s="59"/>
      <c r="S73" s="86"/>
      <c r="T73" s="86"/>
      <c r="U73" s="86"/>
      <c r="V73" s="86"/>
      <c r="W73" s="86"/>
      <c r="X73" s="86"/>
      <c r="Y73" s="86"/>
      <c r="Z73" s="86"/>
      <c r="AA73" s="86"/>
      <c r="AB73" s="86"/>
      <c r="AC73" s="86"/>
      <c r="AD73" s="86"/>
      <c r="AE73" s="12"/>
      <c r="AF73" s="12"/>
      <c r="AG73" s="12"/>
    </row>
    <row r="74" spans="1:37" ht="18.75" x14ac:dyDescent="0.25">
      <c r="A74" s="59"/>
      <c r="B74" s="86"/>
      <c r="C74" s="86"/>
      <c r="D74" s="86"/>
      <c r="E74" s="86"/>
      <c r="F74" s="86"/>
      <c r="G74" s="86"/>
      <c r="H74" s="86"/>
      <c r="I74" s="86"/>
      <c r="J74" s="86"/>
      <c r="K74" s="86"/>
      <c r="L74" s="86"/>
      <c r="M74" s="86"/>
      <c r="N74" s="12"/>
      <c r="O74" s="12"/>
      <c r="P74" s="12"/>
      <c r="R74" s="59"/>
      <c r="S74" s="73"/>
      <c r="T74" s="85"/>
      <c r="U74" s="73"/>
      <c r="V74" s="85"/>
      <c r="W74" s="73"/>
      <c r="X74" s="85"/>
      <c r="Y74" s="73"/>
      <c r="Z74" s="85"/>
      <c r="AA74" s="58"/>
      <c r="AB74" s="73"/>
      <c r="AC74" s="73"/>
      <c r="AD74" s="73"/>
      <c r="AE74" s="56"/>
      <c r="AK74">
        <f>41.23*4.3*4.3/8</f>
        <v>95.29283749999999</v>
      </c>
    </row>
    <row r="75" spans="1:37" ht="18.75" x14ac:dyDescent="0.25">
      <c r="A75" s="59"/>
      <c r="B75" s="73"/>
      <c r="C75" s="85"/>
      <c r="D75" s="73"/>
      <c r="E75" s="85"/>
      <c r="F75" s="73"/>
      <c r="G75" s="85"/>
      <c r="H75" s="73"/>
      <c r="I75" s="85"/>
      <c r="J75" s="58"/>
      <c r="K75" s="73"/>
      <c r="L75" s="73"/>
      <c r="M75" s="73"/>
      <c r="N75" s="56"/>
      <c r="R75" s="59"/>
      <c r="S75" s="86"/>
      <c r="T75" s="86"/>
      <c r="U75" s="86"/>
      <c r="V75" s="86"/>
      <c r="W75" s="86"/>
      <c r="X75" s="86"/>
      <c r="Y75" s="86"/>
      <c r="Z75" s="86"/>
      <c r="AA75" s="86"/>
      <c r="AB75" s="86"/>
      <c r="AC75" s="86"/>
      <c r="AD75" s="86"/>
      <c r="AE75" s="12"/>
    </row>
    <row r="76" spans="1:37" ht="18.75" x14ac:dyDescent="0.25">
      <c r="A76" s="59"/>
      <c r="B76" s="86"/>
      <c r="C76" s="86"/>
      <c r="D76" s="86"/>
      <c r="E76" s="86"/>
      <c r="F76" s="86"/>
      <c r="G76" s="86"/>
      <c r="H76" s="86"/>
      <c r="I76" s="86"/>
      <c r="J76" s="86"/>
      <c r="K76" s="86"/>
      <c r="L76" s="86"/>
      <c r="M76" s="86"/>
      <c r="N76" s="12"/>
      <c r="R76" s="59"/>
      <c r="S76" s="73"/>
      <c r="T76" s="85"/>
      <c r="U76" s="73"/>
      <c r="V76" s="85"/>
      <c r="W76" s="73"/>
      <c r="X76" s="85"/>
      <c r="Y76" s="73"/>
      <c r="Z76" s="85"/>
      <c r="AA76" s="58"/>
      <c r="AB76" s="73"/>
      <c r="AC76" s="73"/>
      <c r="AD76" s="73"/>
      <c r="AE76" s="56"/>
    </row>
    <row r="77" spans="1:37" ht="18.75" x14ac:dyDescent="0.25">
      <c r="A77" s="59"/>
      <c r="B77" s="73"/>
      <c r="C77" s="85"/>
      <c r="D77" s="73"/>
      <c r="E77" s="85"/>
      <c r="F77" s="73"/>
      <c r="G77" s="85"/>
      <c r="H77" s="73"/>
      <c r="I77" s="85"/>
      <c r="J77" s="58"/>
      <c r="K77" s="73"/>
      <c r="L77" s="73"/>
      <c r="M77" s="73"/>
      <c r="N77" s="56"/>
      <c r="R77" s="114"/>
      <c r="S77" s="96"/>
      <c r="T77" s="96"/>
      <c r="U77" s="96"/>
      <c r="V77" s="96"/>
      <c r="W77" s="96"/>
      <c r="X77" s="96"/>
      <c r="Y77" s="96"/>
      <c r="Z77" s="96"/>
      <c r="AA77" s="96"/>
      <c r="AB77" s="96"/>
      <c r="AC77" s="96"/>
      <c r="AD77" s="96"/>
      <c r="AE77" s="94"/>
      <c r="AF77" s="52"/>
      <c r="AG77" s="52"/>
    </row>
    <row r="78" spans="1:37" ht="18.75" x14ac:dyDescent="0.25">
      <c r="A78" s="114"/>
      <c r="B78" s="96"/>
      <c r="C78" s="96"/>
      <c r="D78" s="96"/>
      <c r="E78" s="96"/>
      <c r="F78" s="96"/>
      <c r="G78" s="96"/>
      <c r="H78" s="96"/>
      <c r="I78" s="96"/>
      <c r="J78" s="96"/>
      <c r="K78" s="96"/>
      <c r="L78" s="96"/>
      <c r="M78" s="96"/>
      <c r="N78" s="94"/>
      <c r="O78" s="52"/>
      <c r="P78" s="52"/>
      <c r="R78" s="59"/>
      <c r="S78" s="54"/>
      <c r="T78" s="55"/>
      <c r="U78" s="54"/>
      <c r="V78" s="55"/>
      <c r="W78" s="54"/>
      <c r="X78" s="55"/>
      <c r="Y78" s="54"/>
      <c r="Z78" s="55"/>
      <c r="AA78" s="113"/>
      <c r="AB78" s="54"/>
      <c r="AC78" s="54"/>
      <c r="AD78" s="54"/>
      <c r="AE78" s="56"/>
      <c r="AF78" s="152"/>
      <c r="AG78" s="152"/>
    </row>
    <row r="79" spans="1:37" ht="18.75" x14ac:dyDescent="0.25">
      <c r="A79" s="59"/>
      <c r="B79" s="54"/>
      <c r="C79" s="55"/>
      <c r="D79" s="54"/>
      <c r="E79" s="55"/>
      <c r="F79" s="54"/>
      <c r="G79" s="55"/>
      <c r="H79" s="54"/>
      <c r="I79" s="55"/>
      <c r="J79" s="113"/>
      <c r="K79" s="54"/>
      <c r="L79" s="54"/>
      <c r="M79" s="54"/>
      <c r="N79" s="56"/>
      <c r="O79" s="2"/>
      <c r="P79" s="2"/>
      <c r="R79" s="59"/>
      <c r="S79" s="86"/>
      <c r="T79" s="86"/>
      <c r="U79" s="86"/>
      <c r="V79" s="86"/>
      <c r="W79" s="86"/>
      <c r="X79" s="86"/>
      <c r="Y79" s="86"/>
      <c r="Z79" s="86"/>
      <c r="AA79" s="86"/>
      <c r="AB79" s="86"/>
      <c r="AC79" s="86"/>
      <c r="AD79" s="86"/>
      <c r="AE79" s="12"/>
      <c r="AF79" s="12"/>
      <c r="AG79" s="12"/>
    </row>
    <row r="80" spans="1:37" ht="18.75" x14ac:dyDescent="0.25">
      <c r="A80" s="59"/>
      <c r="B80" s="86"/>
      <c r="C80" s="86"/>
      <c r="D80" s="86"/>
      <c r="E80" s="86"/>
      <c r="F80" s="86"/>
      <c r="G80" s="86"/>
      <c r="H80" s="86"/>
      <c r="I80" s="86"/>
      <c r="J80" s="86"/>
      <c r="K80" s="86"/>
      <c r="L80" s="86"/>
      <c r="M80" s="86"/>
      <c r="N80" s="12"/>
      <c r="O80" s="12"/>
      <c r="P80" s="12"/>
      <c r="R80" s="59"/>
      <c r="S80" s="73"/>
      <c r="T80" s="85"/>
      <c r="U80" s="73"/>
      <c r="V80" s="85"/>
      <c r="W80" s="73"/>
      <c r="X80" s="85"/>
      <c r="Y80" s="73"/>
      <c r="Z80" s="85"/>
      <c r="AA80" s="58"/>
      <c r="AB80" s="73"/>
      <c r="AC80" s="73"/>
      <c r="AD80" s="73"/>
      <c r="AE80" s="56"/>
    </row>
    <row r="81" spans="1:34" ht="18.75" x14ac:dyDescent="0.25">
      <c r="A81" s="59"/>
      <c r="B81" s="73"/>
      <c r="C81" s="85"/>
      <c r="D81" s="73"/>
      <c r="E81" s="85"/>
      <c r="F81" s="73"/>
      <c r="G81" s="85"/>
      <c r="H81" s="73"/>
      <c r="I81" s="85"/>
      <c r="J81" s="58"/>
      <c r="K81" s="73"/>
      <c r="L81" s="73"/>
      <c r="M81" s="73"/>
      <c r="N81" s="56"/>
      <c r="R81" s="59"/>
      <c r="S81" s="86"/>
      <c r="T81" s="86"/>
      <c r="U81" s="86"/>
      <c r="V81" s="86"/>
      <c r="W81" s="86"/>
      <c r="X81" s="86"/>
      <c r="Y81" s="86"/>
      <c r="Z81" s="86"/>
      <c r="AA81" s="86"/>
      <c r="AB81" s="86"/>
      <c r="AC81" s="86"/>
      <c r="AD81" s="86"/>
      <c r="AE81" s="12"/>
    </row>
    <row r="82" spans="1:34" ht="18.75" x14ac:dyDescent="0.25">
      <c r="A82" s="59"/>
      <c r="B82" s="86"/>
      <c r="C82" s="86"/>
      <c r="D82" s="86"/>
      <c r="E82" s="86"/>
      <c r="F82" s="86"/>
      <c r="G82" s="86"/>
      <c r="H82" s="86"/>
      <c r="I82" s="86"/>
      <c r="J82" s="86"/>
      <c r="K82" s="86"/>
      <c r="L82" s="86"/>
      <c r="M82" s="86"/>
      <c r="N82" s="12"/>
      <c r="R82" s="59"/>
      <c r="S82" s="73"/>
      <c r="T82" s="85"/>
      <c r="U82" s="73"/>
      <c r="V82" s="85"/>
      <c r="W82" s="73"/>
      <c r="X82" s="85"/>
      <c r="Y82" s="73"/>
      <c r="Z82" s="85"/>
      <c r="AA82" s="58"/>
      <c r="AB82" s="73"/>
      <c r="AC82" s="73"/>
      <c r="AD82" s="73"/>
      <c r="AE82" s="56"/>
    </row>
    <row r="83" spans="1:34" ht="18.75" x14ac:dyDescent="0.25">
      <c r="A83" s="59"/>
      <c r="B83" s="73"/>
      <c r="C83" s="85"/>
      <c r="D83" s="73"/>
      <c r="E83" s="85"/>
      <c r="F83" s="73"/>
      <c r="G83" s="85"/>
      <c r="H83" s="73"/>
      <c r="I83" s="85"/>
      <c r="J83" s="58"/>
      <c r="K83" s="73"/>
      <c r="L83" s="73"/>
      <c r="M83" s="73"/>
      <c r="N83" s="56"/>
      <c r="R83" s="59"/>
      <c r="S83" s="86"/>
      <c r="T83" s="86"/>
      <c r="U83" s="86"/>
      <c r="V83" s="86"/>
      <c r="W83" s="86"/>
      <c r="X83" s="86"/>
      <c r="Y83" s="86"/>
      <c r="Z83" s="86"/>
      <c r="AA83" s="86"/>
      <c r="AB83" s="86"/>
      <c r="AC83" s="86"/>
      <c r="AD83" s="86"/>
      <c r="AE83" s="12"/>
    </row>
    <row r="84" spans="1:34" ht="18.75" x14ac:dyDescent="0.25">
      <c r="A84" s="59"/>
      <c r="B84" s="86"/>
      <c r="C84" s="86"/>
      <c r="D84" s="86"/>
      <c r="E84" s="86"/>
      <c r="F84" s="86"/>
      <c r="G84" s="86"/>
      <c r="H84" s="86"/>
      <c r="I84" s="86"/>
      <c r="J84" s="86"/>
      <c r="K84" s="86"/>
      <c r="L84" s="86"/>
      <c r="M84" s="86"/>
      <c r="N84" s="12"/>
      <c r="R84" s="59"/>
      <c r="S84" s="73"/>
      <c r="T84" s="85"/>
      <c r="U84" s="73"/>
      <c r="V84" s="85"/>
      <c r="W84" s="73"/>
      <c r="X84" s="85"/>
      <c r="Y84" s="73"/>
      <c r="Z84" s="85"/>
      <c r="AA84" s="58"/>
      <c r="AB84" s="73"/>
      <c r="AC84" s="73"/>
      <c r="AD84" s="73"/>
      <c r="AE84" s="56"/>
    </row>
    <row r="85" spans="1:34" ht="18.75" x14ac:dyDescent="0.25">
      <c r="A85" s="59"/>
      <c r="B85" s="73"/>
      <c r="C85" s="85"/>
      <c r="D85" s="73"/>
      <c r="E85" s="85"/>
      <c r="F85" s="73"/>
      <c r="G85" s="85"/>
      <c r="H85" s="73"/>
      <c r="I85" s="85"/>
      <c r="J85" s="58"/>
      <c r="K85" s="73"/>
      <c r="L85" s="73"/>
      <c r="M85" s="73"/>
      <c r="N85" s="56"/>
      <c r="R85" s="238"/>
      <c r="S85" s="86"/>
      <c r="T85" s="86"/>
      <c r="U85" s="86"/>
      <c r="V85" s="86"/>
      <c r="W85" s="86"/>
      <c r="X85" s="86"/>
      <c r="Y85" s="86"/>
      <c r="Z85" s="86"/>
      <c r="AA85" s="86"/>
      <c r="AB85" s="86"/>
      <c r="AC85" s="86"/>
      <c r="AD85" s="86"/>
      <c r="AE85" s="12"/>
    </row>
    <row r="86" spans="1:34" ht="18.75" x14ac:dyDescent="0.25">
      <c r="A86" s="238"/>
      <c r="B86" s="86"/>
      <c r="C86" s="86"/>
      <c r="D86" s="86"/>
      <c r="E86" s="86"/>
      <c r="F86" s="86"/>
      <c r="G86" s="86"/>
      <c r="H86" s="86"/>
      <c r="I86" s="86"/>
      <c r="J86" s="86"/>
      <c r="K86" s="86"/>
      <c r="L86" s="86"/>
      <c r="M86" s="86"/>
      <c r="N86" s="12"/>
      <c r="R86" s="59"/>
      <c r="S86" s="73"/>
      <c r="T86" s="85"/>
      <c r="U86" s="73"/>
      <c r="V86" s="85"/>
      <c r="W86" s="73"/>
      <c r="X86" s="85"/>
      <c r="Y86" s="73"/>
      <c r="Z86" s="85"/>
      <c r="AA86" s="58"/>
      <c r="AB86" s="73"/>
      <c r="AC86" s="73"/>
      <c r="AD86" s="73"/>
      <c r="AE86" s="56"/>
    </row>
    <row r="87" spans="1:34" ht="18.75" x14ac:dyDescent="0.25">
      <c r="A87" s="59"/>
      <c r="B87" s="73"/>
      <c r="C87" s="85"/>
      <c r="D87" s="73"/>
      <c r="E87" s="85"/>
      <c r="F87" s="73"/>
      <c r="G87" s="85"/>
      <c r="H87" s="73"/>
      <c r="I87" s="85"/>
      <c r="J87" s="58"/>
      <c r="K87" s="73"/>
      <c r="L87" s="73"/>
      <c r="M87" s="73"/>
      <c r="N87" s="56"/>
      <c r="R87" s="59"/>
      <c r="S87" s="86"/>
      <c r="T87" s="86"/>
      <c r="U87" s="86"/>
      <c r="V87" s="86"/>
      <c r="W87" s="86"/>
      <c r="X87" s="86"/>
      <c r="Y87" s="86"/>
      <c r="Z87" s="86"/>
      <c r="AA87" s="86"/>
      <c r="AB87" s="86"/>
      <c r="AC87" s="86"/>
      <c r="AD87" s="86"/>
      <c r="AE87" s="12"/>
    </row>
    <row r="88" spans="1:34" ht="18.75" x14ac:dyDescent="0.25">
      <c r="A88" s="59"/>
      <c r="B88" s="86"/>
      <c r="C88" s="86"/>
      <c r="D88" s="86"/>
      <c r="E88" s="86"/>
      <c r="F88" s="86"/>
      <c r="G88" s="86"/>
      <c r="H88" s="86"/>
      <c r="I88" s="86"/>
      <c r="J88" s="86"/>
      <c r="K88" s="86"/>
      <c r="L88" s="86"/>
      <c r="M88" s="86"/>
      <c r="N88" s="12"/>
      <c r="R88" s="59"/>
      <c r="S88" s="73"/>
      <c r="T88" s="85"/>
      <c r="U88" s="73"/>
      <c r="V88" s="85"/>
      <c r="W88" s="73"/>
      <c r="X88" s="85"/>
      <c r="Y88" s="73"/>
      <c r="Z88" s="85"/>
      <c r="AA88" s="58"/>
      <c r="AB88" s="73"/>
      <c r="AC88" s="73"/>
      <c r="AD88" s="73"/>
      <c r="AE88" s="56"/>
    </row>
    <row r="89" spans="1:34" ht="18.75" x14ac:dyDescent="0.25">
      <c r="A89" s="59"/>
      <c r="B89" s="73"/>
      <c r="C89" s="85"/>
      <c r="D89" s="73"/>
      <c r="E89" s="85"/>
      <c r="F89" s="73"/>
      <c r="G89" s="85"/>
      <c r="H89" s="73"/>
      <c r="I89" s="85"/>
      <c r="J89" s="58"/>
      <c r="K89" s="73"/>
      <c r="L89" s="73"/>
      <c r="M89" s="73"/>
      <c r="N89" s="56"/>
      <c r="R89" s="59"/>
      <c r="S89" s="86"/>
      <c r="T89" s="86"/>
      <c r="U89" s="86"/>
      <c r="V89" s="86"/>
      <c r="W89" s="86"/>
      <c r="X89" s="86"/>
      <c r="Y89" s="86"/>
      <c r="Z89" s="86"/>
      <c r="AA89" s="86"/>
      <c r="AB89" s="86"/>
      <c r="AC89" s="86"/>
      <c r="AD89" s="86"/>
      <c r="AE89" s="12"/>
    </row>
    <row r="90" spans="1:34" x14ac:dyDescent="0.25">
      <c r="A90" s="59"/>
      <c r="B90" s="86"/>
      <c r="C90" s="86"/>
      <c r="D90" s="86"/>
      <c r="E90" s="86"/>
      <c r="F90" s="86"/>
      <c r="G90" s="86"/>
      <c r="H90" s="86"/>
      <c r="I90" s="86"/>
      <c r="J90" s="86"/>
      <c r="K90" s="86"/>
      <c r="L90" s="86"/>
      <c r="M90" s="86"/>
      <c r="N90" s="12"/>
      <c r="R90" s="114"/>
      <c r="AG90" s="52"/>
      <c r="AH90" s="52"/>
    </row>
    <row r="91" spans="1:34" ht="18.75" x14ac:dyDescent="0.25">
      <c r="A91" s="114"/>
      <c r="P91" s="52"/>
      <c r="Q91" s="52"/>
      <c r="R91" s="59"/>
      <c r="S91" s="54"/>
      <c r="T91" s="55"/>
      <c r="U91" s="54"/>
      <c r="V91" s="55"/>
      <c r="W91" s="54"/>
      <c r="X91" s="55"/>
      <c r="Y91" s="113"/>
      <c r="Z91" s="54"/>
      <c r="AA91" s="55"/>
      <c r="AB91" s="113"/>
      <c r="AC91" s="54"/>
      <c r="AD91" s="54"/>
      <c r="AE91" s="54"/>
      <c r="AF91" s="56"/>
      <c r="AG91" s="152"/>
      <c r="AH91" s="152"/>
    </row>
    <row r="92" spans="1:34" ht="18.75" x14ac:dyDescent="0.25">
      <c r="A92" s="59"/>
      <c r="B92" s="54"/>
      <c r="C92" s="55"/>
      <c r="D92" s="54"/>
      <c r="E92" s="55"/>
      <c r="F92" s="54"/>
      <c r="G92" s="55"/>
      <c r="H92" s="113"/>
      <c r="I92" s="54"/>
      <c r="J92" s="55"/>
      <c r="K92" s="113"/>
      <c r="L92" s="54"/>
      <c r="M92" s="54"/>
      <c r="N92" s="54"/>
      <c r="O92" s="56"/>
      <c r="P92" s="2"/>
      <c r="Q92" s="2"/>
      <c r="R92" s="59"/>
      <c r="S92" s="86"/>
      <c r="T92" s="86"/>
      <c r="U92" s="86"/>
      <c r="V92" s="86"/>
      <c r="W92" s="86"/>
      <c r="X92" s="255"/>
      <c r="Y92" s="255"/>
      <c r="Z92" s="255"/>
      <c r="AA92" s="255"/>
      <c r="AB92" s="255"/>
      <c r="AC92" s="12"/>
      <c r="AD92" s="12"/>
      <c r="AE92" s="12"/>
      <c r="AF92" s="12"/>
      <c r="AG92" s="12"/>
      <c r="AH92" s="12"/>
    </row>
    <row r="93" spans="1:34" ht="18.75" x14ac:dyDescent="0.25">
      <c r="A93" s="59"/>
      <c r="B93" s="86"/>
      <c r="C93" s="86"/>
      <c r="D93" s="86"/>
      <c r="E93" s="86"/>
      <c r="F93" s="86"/>
      <c r="G93" s="78"/>
      <c r="H93" s="78"/>
      <c r="I93" s="78"/>
      <c r="J93" s="78"/>
      <c r="K93" s="78"/>
      <c r="L93" s="12"/>
      <c r="M93" s="12"/>
      <c r="N93" s="12"/>
      <c r="O93" s="12"/>
      <c r="P93" s="12"/>
      <c r="Q93" s="12"/>
      <c r="R93" s="59"/>
      <c r="S93" s="73"/>
      <c r="T93" s="85"/>
      <c r="U93" s="73"/>
      <c r="V93" s="85"/>
      <c r="W93" s="73"/>
      <c r="X93" s="55"/>
      <c r="Y93" s="113"/>
      <c r="Z93" s="54"/>
      <c r="AA93" s="55"/>
      <c r="AB93" s="113"/>
      <c r="AC93" s="73"/>
      <c r="AD93" s="73"/>
      <c r="AE93" s="73"/>
      <c r="AF93" s="56"/>
    </row>
    <row r="94" spans="1:34" ht="18.75" x14ac:dyDescent="0.25">
      <c r="A94" s="59"/>
      <c r="B94" s="73"/>
      <c r="C94" s="85"/>
      <c r="D94" s="73"/>
      <c r="E94" s="85"/>
      <c r="F94" s="73"/>
      <c r="G94" s="55"/>
      <c r="H94" s="113"/>
      <c r="I94" s="54"/>
      <c r="J94" s="55"/>
      <c r="K94" s="113"/>
      <c r="L94" s="73"/>
      <c r="M94" s="73"/>
      <c r="N94" s="73"/>
      <c r="O94" s="56"/>
      <c r="R94" s="59"/>
      <c r="S94" s="86"/>
      <c r="T94" s="86"/>
      <c r="U94" s="86"/>
      <c r="V94" s="86"/>
      <c r="W94" s="86"/>
      <c r="X94" s="255"/>
      <c r="Y94" s="255"/>
      <c r="Z94" s="255"/>
      <c r="AA94" s="255"/>
      <c r="AB94" s="255"/>
      <c r="AC94" s="12"/>
      <c r="AD94" s="12"/>
      <c r="AE94" s="12"/>
      <c r="AF94" s="12"/>
    </row>
    <row r="95" spans="1:34" ht="18.75" x14ac:dyDescent="0.25">
      <c r="A95" s="59"/>
      <c r="B95" s="86"/>
      <c r="C95" s="86"/>
      <c r="D95" s="86"/>
      <c r="E95" s="86"/>
      <c r="F95" s="86"/>
      <c r="G95" s="78"/>
      <c r="H95" s="78"/>
      <c r="I95" s="78"/>
      <c r="J95" s="78"/>
      <c r="K95" s="78"/>
      <c r="L95" s="12"/>
      <c r="M95" s="12"/>
      <c r="N95" s="12"/>
      <c r="O95" s="12"/>
      <c r="R95" s="59"/>
      <c r="S95" s="73"/>
      <c r="T95" s="85"/>
      <c r="U95" s="73"/>
      <c r="V95" s="85"/>
      <c r="W95" s="73"/>
      <c r="X95" s="55"/>
      <c r="Y95" s="113"/>
      <c r="Z95" s="54"/>
      <c r="AA95" s="55"/>
      <c r="AB95" s="113"/>
      <c r="AC95" s="73"/>
      <c r="AD95" s="73"/>
      <c r="AE95" s="73"/>
      <c r="AF95" s="56"/>
    </row>
    <row r="96" spans="1:34" ht="18.75" x14ac:dyDescent="0.25">
      <c r="A96" s="59"/>
      <c r="B96" s="73"/>
      <c r="C96" s="85"/>
      <c r="D96" s="73"/>
      <c r="E96" s="85"/>
      <c r="F96" s="73"/>
      <c r="G96" s="55"/>
      <c r="H96" s="113"/>
      <c r="I96" s="54"/>
      <c r="J96" s="55"/>
      <c r="K96" s="113"/>
      <c r="L96" s="73"/>
      <c r="M96" s="73"/>
      <c r="N96" s="73"/>
      <c r="O96" s="56"/>
      <c r="R96" s="59"/>
      <c r="S96" s="86"/>
      <c r="T96" s="86"/>
      <c r="U96" s="86"/>
      <c r="V96" s="86"/>
      <c r="W96" s="86"/>
      <c r="X96" s="255"/>
      <c r="Y96" s="255"/>
      <c r="Z96" s="255"/>
      <c r="AA96" s="255"/>
      <c r="AB96" s="255"/>
      <c r="AC96" s="12"/>
      <c r="AD96" s="12"/>
      <c r="AE96" s="12"/>
      <c r="AF96" s="12"/>
    </row>
    <row r="97" spans="1:32" ht="18.75" x14ac:dyDescent="0.25">
      <c r="A97" s="59"/>
      <c r="B97" s="86"/>
      <c r="C97" s="86"/>
      <c r="D97" s="86"/>
      <c r="E97" s="86"/>
      <c r="F97" s="86"/>
      <c r="G97" s="78"/>
      <c r="H97" s="78"/>
      <c r="I97" s="78"/>
      <c r="J97" s="78"/>
      <c r="K97" s="78"/>
      <c r="L97" s="12"/>
      <c r="M97" s="12"/>
      <c r="N97" s="12"/>
      <c r="O97" s="12"/>
      <c r="R97" s="59"/>
      <c r="S97" s="73"/>
      <c r="T97" s="85"/>
      <c r="U97" s="73"/>
      <c r="V97" s="85"/>
      <c r="W97" s="73"/>
      <c r="X97" s="55"/>
      <c r="Y97" s="113"/>
      <c r="Z97" s="54"/>
      <c r="AA97" s="55"/>
      <c r="AB97" s="113"/>
      <c r="AC97" s="73"/>
      <c r="AD97" s="73"/>
      <c r="AE97" s="73"/>
      <c r="AF97" s="56"/>
    </row>
    <row r="98" spans="1:32" ht="18.75" x14ac:dyDescent="0.25">
      <c r="A98" s="59"/>
      <c r="B98" s="73"/>
      <c r="C98" s="85"/>
      <c r="D98" s="73"/>
      <c r="E98" s="85"/>
      <c r="F98" s="73"/>
      <c r="G98" s="55"/>
      <c r="H98" s="113"/>
      <c r="I98" s="54"/>
      <c r="J98" s="55"/>
      <c r="K98" s="113"/>
      <c r="L98" s="73"/>
      <c r="M98" s="73"/>
      <c r="N98" s="73"/>
      <c r="O98" s="56"/>
      <c r="R98" s="238"/>
      <c r="S98" s="86"/>
      <c r="T98" s="86"/>
      <c r="U98" s="86"/>
      <c r="V98" s="86"/>
      <c r="W98" s="86"/>
      <c r="X98" s="255"/>
      <c r="Y98" s="255"/>
      <c r="Z98" s="255"/>
      <c r="AA98" s="255"/>
      <c r="AB98" s="255"/>
      <c r="AC98" s="12"/>
      <c r="AD98" s="12"/>
      <c r="AE98" s="12"/>
      <c r="AF98" s="12"/>
    </row>
    <row r="99" spans="1:32" ht="18.75" x14ac:dyDescent="0.25">
      <c r="A99" s="238"/>
      <c r="B99" s="86"/>
      <c r="C99" s="86"/>
      <c r="D99" s="86"/>
      <c r="E99" s="86"/>
      <c r="F99" s="86"/>
      <c r="G99" s="78"/>
      <c r="H99" s="78"/>
      <c r="I99" s="78"/>
      <c r="J99" s="78"/>
      <c r="K99" s="78"/>
      <c r="L99" s="12"/>
      <c r="M99" s="12"/>
      <c r="N99" s="12"/>
      <c r="O99" s="12"/>
      <c r="R99" s="59"/>
      <c r="S99" s="73"/>
      <c r="T99" s="85"/>
      <c r="U99" s="73"/>
      <c r="V99" s="85"/>
      <c r="W99" s="73"/>
      <c r="X99" s="55"/>
      <c r="Y99" s="113"/>
      <c r="Z99" s="54"/>
      <c r="AA99" s="55"/>
      <c r="AB99" s="113"/>
      <c r="AC99" s="73"/>
      <c r="AD99" s="73"/>
      <c r="AE99" s="73"/>
      <c r="AF99" s="56"/>
    </row>
    <row r="100" spans="1:32" ht="18.75" x14ac:dyDescent="0.25">
      <c r="A100" s="59"/>
      <c r="B100" s="73"/>
      <c r="C100" s="85"/>
      <c r="D100" s="73"/>
      <c r="E100" s="85"/>
      <c r="F100" s="73"/>
      <c r="G100" s="55"/>
      <c r="H100" s="113"/>
      <c r="I100" s="54"/>
      <c r="J100" s="55"/>
      <c r="K100" s="113"/>
      <c r="L100" s="73"/>
      <c r="M100" s="73"/>
      <c r="N100" s="73"/>
      <c r="O100" s="56"/>
      <c r="R100" s="238"/>
      <c r="S100" s="86"/>
      <c r="T100" s="86"/>
      <c r="U100" s="86"/>
      <c r="V100" s="86"/>
      <c r="W100" s="86"/>
      <c r="X100" s="255"/>
      <c r="Y100" s="255"/>
      <c r="Z100" s="255"/>
      <c r="AA100" s="255"/>
      <c r="AB100" s="255"/>
      <c r="AC100" s="12"/>
      <c r="AD100" s="12"/>
      <c r="AE100" s="12"/>
      <c r="AF100" s="12"/>
    </row>
    <row r="101" spans="1:32" x14ac:dyDescent="0.25">
      <c r="A101" s="238"/>
      <c r="B101" s="86"/>
      <c r="C101" s="86"/>
      <c r="D101" s="86"/>
      <c r="E101" s="86"/>
      <c r="F101" s="86"/>
      <c r="G101" s="78"/>
      <c r="H101" s="78"/>
      <c r="I101" s="78"/>
      <c r="J101" s="78"/>
      <c r="K101" s="78"/>
      <c r="L101" s="12"/>
      <c r="M101" s="12"/>
      <c r="N101" s="12"/>
      <c r="O101" s="12"/>
    </row>
  </sheetData>
  <mergeCells count="10">
    <mergeCell ref="A15:A16"/>
    <mergeCell ref="A13:A14"/>
    <mergeCell ref="A1:B1"/>
    <mergeCell ref="C1:D1"/>
    <mergeCell ref="E1:F1"/>
    <mergeCell ref="M10:U10"/>
    <mergeCell ref="A5:F5"/>
    <mergeCell ref="A10:K10"/>
    <mergeCell ref="A11:K11"/>
    <mergeCell ref="M11:U1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1"/>
  <sheetViews>
    <sheetView zoomScale="80" zoomScaleNormal="80" workbookViewId="0">
      <selection activeCell="X8" sqref="X8"/>
    </sheetView>
  </sheetViews>
  <sheetFormatPr defaultRowHeight="15" x14ac:dyDescent="0.25"/>
  <cols>
    <col min="1" max="1" width="8.140625" customWidth="1"/>
    <col min="2" max="2" width="8.85546875" customWidth="1"/>
    <col min="3" max="3" width="11.42578125" customWidth="1"/>
    <col min="4" max="4" width="10.140625" customWidth="1"/>
    <col min="5" max="5" width="11.42578125" customWidth="1"/>
    <col min="6" max="6" width="10.28515625" customWidth="1"/>
    <col min="7" max="7" width="11.28515625" customWidth="1"/>
    <col min="8" max="9" width="10.5703125" customWidth="1"/>
    <col min="10" max="10" width="9.140625" customWidth="1"/>
    <col min="11" max="11" width="10.140625" customWidth="1"/>
    <col min="12" max="12" width="8.140625" customWidth="1"/>
    <col min="13" max="13" width="9.5703125" customWidth="1"/>
    <col min="14" max="14" width="8.5703125" customWidth="1"/>
    <col min="15" max="15" width="7.5703125" customWidth="1"/>
    <col min="16" max="16" width="8.85546875" customWidth="1"/>
    <col min="17" max="17" width="8.7109375" customWidth="1"/>
    <col min="18" max="18" width="10.140625" customWidth="1"/>
    <col min="19" max="19" width="8.85546875" customWidth="1"/>
    <col min="20" max="20" width="7.5703125" customWidth="1"/>
    <col min="21" max="22" width="8.5703125" customWidth="1"/>
  </cols>
  <sheetData>
    <row r="1" spans="1:32" ht="60" x14ac:dyDescent="0.25">
      <c r="A1" s="403" t="s">
        <v>156</v>
      </c>
      <c r="B1" s="403"/>
      <c r="C1" s="403"/>
      <c r="D1" s="410"/>
      <c r="E1" s="407" t="s">
        <v>177</v>
      </c>
      <c r="F1" s="409"/>
      <c r="G1" s="398" t="s">
        <v>293</v>
      </c>
      <c r="H1" s="399"/>
      <c r="I1" s="419" t="s">
        <v>146</v>
      </c>
      <c r="J1" s="419"/>
      <c r="K1" s="419"/>
      <c r="L1" s="419"/>
      <c r="M1" s="419"/>
      <c r="N1" s="253" t="s">
        <v>294</v>
      </c>
      <c r="O1" s="407" t="s">
        <v>178</v>
      </c>
      <c r="P1" s="409"/>
      <c r="Q1" s="398" t="s">
        <v>295</v>
      </c>
      <c r="R1" s="399"/>
      <c r="S1" s="419" t="s">
        <v>146</v>
      </c>
      <c r="T1" s="419"/>
      <c r="U1" s="419"/>
      <c r="V1" s="419"/>
      <c r="W1" s="419"/>
      <c r="X1" s="253" t="s">
        <v>296</v>
      </c>
      <c r="Y1" s="407" t="s">
        <v>99</v>
      </c>
      <c r="Z1" s="408"/>
      <c r="AA1" s="409"/>
    </row>
    <row r="2" spans="1:32" ht="60" x14ac:dyDescent="0.25">
      <c r="A2" s="251" t="s">
        <v>102</v>
      </c>
      <c r="B2" s="253" t="s">
        <v>100</v>
      </c>
      <c r="C2" s="109" t="s">
        <v>277</v>
      </c>
      <c r="D2" s="252" t="s">
        <v>276</v>
      </c>
      <c r="E2" s="251" t="s">
        <v>102</v>
      </c>
      <c r="F2" s="253" t="s">
        <v>187</v>
      </c>
      <c r="G2" s="109" t="s">
        <v>277</v>
      </c>
      <c r="H2" s="252" t="s">
        <v>276</v>
      </c>
      <c r="I2" s="110" t="s">
        <v>455</v>
      </c>
      <c r="J2" s="111" t="s">
        <v>278</v>
      </c>
      <c r="K2" s="252" t="s">
        <v>284</v>
      </c>
      <c r="L2" s="252" t="s">
        <v>445</v>
      </c>
      <c r="M2" s="110" t="s">
        <v>258</v>
      </c>
      <c r="N2" s="112" t="s">
        <v>274</v>
      </c>
      <c r="O2" s="251" t="s">
        <v>102</v>
      </c>
      <c r="P2" s="253" t="s">
        <v>100</v>
      </c>
      <c r="Q2" s="109" t="s">
        <v>141</v>
      </c>
      <c r="R2" s="252" t="s">
        <v>276</v>
      </c>
      <c r="S2" s="110" t="s">
        <v>455</v>
      </c>
      <c r="T2" s="111" t="s">
        <v>278</v>
      </c>
      <c r="U2" s="252" t="s">
        <v>284</v>
      </c>
      <c r="V2" s="252" t="s">
        <v>445</v>
      </c>
      <c r="W2" s="110" t="s">
        <v>258</v>
      </c>
      <c r="X2" s="112" t="s">
        <v>274</v>
      </c>
      <c r="Y2" s="259" t="s">
        <v>287</v>
      </c>
      <c r="Z2" s="259" t="s">
        <v>456</v>
      </c>
      <c r="AA2" s="112" t="s">
        <v>258</v>
      </c>
    </row>
    <row r="3" spans="1:32" x14ac:dyDescent="0.25">
      <c r="A3" s="257">
        <v>0.3</v>
      </c>
      <c r="B3" s="257">
        <v>0.7</v>
      </c>
      <c r="C3" s="257">
        <v>25</v>
      </c>
      <c r="D3" s="257">
        <f>A3*B3*C3</f>
        <v>5.25</v>
      </c>
      <c r="E3" s="257">
        <f>'Dimens. Travi Emergen.'!F4/100</f>
        <v>0.3</v>
      </c>
      <c r="F3" s="20">
        <f>'Analisi dei Carichi Trave Emerg'!B3</f>
        <v>0.7</v>
      </c>
      <c r="G3" s="257">
        <v>25</v>
      </c>
      <c r="H3" s="257">
        <f>E3*F3*G3</f>
        <v>5.25</v>
      </c>
      <c r="I3" s="20">
        <f>'Analisi dei Carichi Solaio Tipo'!E12</f>
        <v>3.4000000000000004</v>
      </c>
      <c r="J3" s="257">
        <f>E3*I3</f>
        <v>1.02</v>
      </c>
      <c r="K3" s="20">
        <f>'Analisi dei Carichi Solaio Tipo'!J12</f>
        <v>2.7600000000000002</v>
      </c>
      <c r="L3" s="20">
        <f>'Analisi dei Carichi Solaio Tipo'!J13+'Analisi dei Carichi Solaio Tipo'!J14</f>
        <v>5.9420000000000002</v>
      </c>
      <c r="M3" s="20">
        <f>'Analisi dei Carichi Solaio Tipo'!E19</f>
        <v>2</v>
      </c>
      <c r="N3" s="257">
        <f>H3-J3</f>
        <v>4.2300000000000004</v>
      </c>
      <c r="O3" s="257">
        <f>'Analisi dei Carichi Trave Spess'!A3</f>
        <v>1</v>
      </c>
      <c r="P3" s="257">
        <f>'Analisi dei Carichi Trave Spess'!B3</f>
        <v>0.24000000000000002</v>
      </c>
      <c r="Q3" s="257">
        <f>'Analisi dei Carichi Trave Spess'!C3</f>
        <v>25</v>
      </c>
      <c r="R3" s="257">
        <f>Q3*O3*P3</f>
        <v>6.0000000000000009</v>
      </c>
      <c r="S3" s="20">
        <f>'Analisi dei Carichi Solaio Tipo'!E12</f>
        <v>3.4000000000000004</v>
      </c>
      <c r="T3" s="257">
        <f>S3*O3</f>
        <v>3.4000000000000004</v>
      </c>
      <c r="U3" s="20">
        <f>'Analisi dei Carichi Solaio Tipo'!J12</f>
        <v>2.7600000000000002</v>
      </c>
      <c r="V3" s="20">
        <f>'Analisi dei Carichi Solaio Tipo'!J13+'Analisi dei Carichi Solaio Tipo'!J14</f>
        <v>5.9420000000000002</v>
      </c>
      <c r="W3" s="20">
        <f>'Analisi dei Carichi Solaio Tipo'!E19</f>
        <v>2</v>
      </c>
      <c r="X3" s="257">
        <f>R3-T3</f>
        <v>2.6000000000000005</v>
      </c>
      <c r="Y3" s="20">
        <f>'Analisi dei Carichi Solaio Tipo'!O12</f>
        <v>2.6</v>
      </c>
      <c r="Z3" s="20">
        <f>'Analisi dei Carichi Solaio Tipo'!T12</f>
        <v>0.97500000000000009</v>
      </c>
      <c r="AA3" s="20">
        <f>'Analisi dei Carichi Solaio Tipo'!L19</f>
        <v>4</v>
      </c>
    </row>
    <row r="5" spans="1:32" ht="15.75" x14ac:dyDescent="0.25">
      <c r="A5" s="434" t="s">
        <v>171</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row>
    <row r="6" spans="1:32" x14ac:dyDescent="0.25">
      <c r="A6" s="207"/>
      <c r="B6" s="207"/>
      <c r="C6" s="207"/>
      <c r="D6" s="207"/>
      <c r="E6" s="207"/>
      <c r="F6" s="207"/>
      <c r="G6" s="207"/>
      <c r="H6" s="207"/>
      <c r="I6" s="436" t="s">
        <v>168</v>
      </c>
      <c r="J6" s="403"/>
      <c r="K6" s="403"/>
      <c r="L6" s="403"/>
      <c r="M6" s="403"/>
      <c r="N6" s="403"/>
      <c r="O6" s="403"/>
      <c r="P6" s="403"/>
      <c r="Q6" s="403"/>
      <c r="R6" s="403"/>
      <c r="S6" s="403"/>
      <c r="T6" s="403"/>
      <c r="U6" s="403"/>
      <c r="V6" s="403"/>
      <c r="W6" s="403"/>
      <c r="X6" s="403"/>
      <c r="Y6" s="410"/>
      <c r="Z6" s="436" t="s">
        <v>169</v>
      </c>
      <c r="AA6" s="403"/>
      <c r="AB6" s="403"/>
      <c r="AC6" s="403"/>
      <c r="AD6" s="403"/>
      <c r="AE6" s="403"/>
      <c r="AF6" s="403"/>
    </row>
    <row r="7" spans="1:32" ht="78.75" customHeight="1" x14ac:dyDescent="0.25">
      <c r="A7" s="250" t="s">
        <v>157</v>
      </c>
      <c r="B7" s="252" t="s">
        <v>158</v>
      </c>
      <c r="C7" s="252" t="s">
        <v>167</v>
      </c>
      <c r="D7" s="252" t="s">
        <v>167</v>
      </c>
      <c r="E7" s="252" t="s">
        <v>299</v>
      </c>
      <c r="F7" s="252" t="s">
        <v>299</v>
      </c>
      <c r="G7" s="252" t="s">
        <v>166</v>
      </c>
      <c r="H7" s="253" t="s">
        <v>300</v>
      </c>
      <c r="I7" s="252" t="s">
        <v>273</v>
      </c>
      <c r="J7" s="252" t="s">
        <v>310</v>
      </c>
      <c r="K7" s="252" t="s">
        <v>271</v>
      </c>
      <c r="L7" s="72" t="s">
        <v>269</v>
      </c>
      <c r="M7" s="245" t="s">
        <v>56</v>
      </c>
      <c r="N7" s="252" t="s">
        <v>270</v>
      </c>
      <c r="O7" s="252" t="s">
        <v>268</v>
      </c>
      <c r="P7" s="132" t="s">
        <v>57</v>
      </c>
      <c r="Q7" s="346" t="s">
        <v>311</v>
      </c>
      <c r="R7" s="245" t="s">
        <v>58</v>
      </c>
      <c r="S7" s="252" t="s">
        <v>298</v>
      </c>
      <c r="T7" s="138" t="s">
        <v>142</v>
      </c>
      <c r="U7" s="139" t="s">
        <v>137</v>
      </c>
      <c r="V7" s="111" t="s">
        <v>244</v>
      </c>
      <c r="W7" s="111" t="s">
        <v>243</v>
      </c>
      <c r="X7" s="111" t="s">
        <v>279</v>
      </c>
      <c r="Y7" s="133" t="s">
        <v>280</v>
      </c>
      <c r="Z7" s="134" t="s">
        <v>281</v>
      </c>
      <c r="AA7" s="111" t="s">
        <v>282</v>
      </c>
      <c r="AB7" s="135" t="s">
        <v>63</v>
      </c>
      <c r="AC7" s="111" t="s">
        <v>279</v>
      </c>
      <c r="AD7" s="255" t="s">
        <v>139</v>
      </c>
      <c r="AE7" s="241" t="s">
        <v>301</v>
      </c>
      <c r="AF7" s="133" t="s">
        <v>280</v>
      </c>
    </row>
    <row r="8" spans="1:32" x14ac:dyDescent="0.25">
      <c r="A8" s="257">
        <v>13</v>
      </c>
      <c r="B8" s="257">
        <v>2.6</v>
      </c>
      <c r="C8" s="257">
        <v>2.0249999999999999</v>
      </c>
      <c r="D8" s="257">
        <v>2.0249999999999999</v>
      </c>
      <c r="E8" s="257">
        <v>0</v>
      </c>
      <c r="F8" s="82">
        <v>0</v>
      </c>
      <c r="G8" s="20">
        <f>C8*D8</f>
        <v>4.100625</v>
      </c>
      <c r="H8" s="257">
        <f>E8*F8</f>
        <v>0</v>
      </c>
      <c r="I8" s="117">
        <f>$D$3*B8</f>
        <v>13.65</v>
      </c>
      <c r="J8" s="20">
        <f>N3*(C8+D8)</f>
        <v>17.131500000000003</v>
      </c>
      <c r="K8" s="20">
        <f>I3*(G8)</f>
        <v>13.942125000000001</v>
      </c>
      <c r="L8" s="20">
        <f>$Y$3*H8</f>
        <v>0</v>
      </c>
      <c r="M8" s="257">
        <v>1.3</v>
      </c>
      <c r="N8" s="20">
        <f>K3*(G8)+L3*(C8+D8)</f>
        <v>35.382825000000004</v>
      </c>
      <c r="O8" s="20">
        <f>$Z$3*H8</f>
        <v>0</v>
      </c>
      <c r="P8" s="257">
        <v>1.5</v>
      </c>
      <c r="Q8" s="20">
        <f>M3*G8</f>
        <v>8.2012499999999999</v>
      </c>
      <c r="R8" s="20">
        <v>1.5</v>
      </c>
      <c r="S8" s="20">
        <f>$AA$3*H8</f>
        <v>0</v>
      </c>
      <c r="T8" s="20">
        <v>1.5</v>
      </c>
      <c r="U8" s="20">
        <v>1</v>
      </c>
      <c r="V8" s="20">
        <f>(I8+J8+K8+L8)*M8</f>
        <v>58.140712499999999</v>
      </c>
      <c r="W8" s="20">
        <f>(N8+O8)*P8</f>
        <v>53.07423750000001</v>
      </c>
      <c r="X8" s="20">
        <f>Q8*R8+S8*T8*U8</f>
        <v>12.301874999999999</v>
      </c>
      <c r="Y8" s="20">
        <f>V8+W8+X8</f>
        <v>123.51682500000001</v>
      </c>
      <c r="Z8" s="20">
        <f>I8+J8+K8+L8</f>
        <v>44.723624999999998</v>
      </c>
      <c r="AA8" s="20">
        <f>N8+O8</f>
        <v>35.382825000000004</v>
      </c>
      <c r="AB8" s="20">
        <v>0.3</v>
      </c>
      <c r="AC8" s="20">
        <f>Q8*AB8</f>
        <v>2.460375</v>
      </c>
      <c r="AD8" s="20">
        <v>0.3</v>
      </c>
      <c r="AE8" s="20">
        <f>S8*AD8</f>
        <v>0</v>
      </c>
      <c r="AF8" s="20">
        <f>Z8+AA8+AC8+AE8</f>
        <v>82.566824999999994</v>
      </c>
    </row>
    <row r="9" spans="1:32" x14ac:dyDescent="0.25">
      <c r="A9" s="257">
        <v>26</v>
      </c>
      <c r="B9" s="257">
        <v>2.6</v>
      </c>
      <c r="C9" s="257">
        <v>2.3250000000000002</v>
      </c>
      <c r="D9" s="257">
        <v>2.25</v>
      </c>
      <c r="E9" s="257">
        <v>0</v>
      </c>
      <c r="F9" s="82">
        <v>0</v>
      </c>
      <c r="G9" s="20">
        <f>(C9+D9)*2.075/2</f>
        <v>4.7465625000000005</v>
      </c>
      <c r="H9" s="257">
        <f>E9*F9</f>
        <v>0</v>
      </c>
      <c r="I9" s="117">
        <f>$D$3*B9</f>
        <v>13.65</v>
      </c>
      <c r="J9" s="20">
        <f>X3*(2.0809)+N3*D9</f>
        <v>14.927840000000003</v>
      </c>
      <c r="K9" s="20">
        <f>S3*(G9)</f>
        <v>16.138312500000005</v>
      </c>
      <c r="L9" s="20">
        <f>$Y$3*H9</f>
        <v>0</v>
      </c>
      <c r="M9" s="257">
        <v>1.3</v>
      </c>
      <c r="N9" s="20">
        <f>K3*(G9)+L3*(2.075+D9)</f>
        <v>38.799662500000004</v>
      </c>
      <c r="O9" s="257">
        <f>$Z$3*H9</f>
        <v>0</v>
      </c>
      <c r="P9" s="257">
        <v>1.5</v>
      </c>
      <c r="Q9" s="20">
        <f>W3*G9</f>
        <v>9.4931250000000009</v>
      </c>
      <c r="R9" s="20">
        <v>1.5</v>
      </c>
      <c r="S9" s="20">
        <f>$AA$3*H9</f>
        <v>0</v>
      </c>
      <c r="T9" s="20">
        <v>1.5</v>
      </c>
      <c r="U9" s="20">
        <v>1</v>
      </c>
      <c r="V9" s="20">
        <f>(I9+J9+K9+L9)*M9</f>
        <v>58.130998250000012</v>
      </c>
      <c r="W9" s="20">
        <f t="shared" ref="W9:W10" si="0">(N9+O9)*P9</f>
        <v>58.199493750000002</v>
      </c>
      <c r="X9" s="20">
        <f t="shared" ref="X9:X10" si="1">Q9*R9+S9*T9*U9</f>
        <v>14.239687500000002</v>
      </c>
      <c r="Y9" s="20">
        <f>V9+W9+X9</f>
        <v>130.57017950000002</v>
      </c>
      <c r="Z9" s="20">
        <f t="shared" ref="Z9:Z10" si="2">I9+J9+K9+L9</f>
        <v>44.716152500000007</v>
      </c>
      <c r="AA9" s="20">
        <f t="shared" ref="AA9:AA10" si="3">N9+O9</f>
        <v>38.799662500000004</v>
      </c>
      <c r="AB9" s="20">
        <v>0.3</v>
      </c>
      <c r="AC9" s="20">
        <f>Q9*AB9</f>
        <v>2.8479375</v>
      </c>
      <c r="AD9" s="20">
        <v>0.3</v>
      </c>
      <c r="AE9" s="20">
        <f t="shared" ref="AE9:AE10" si="4">S9*AD9</f>
        <v>0</v>
      </c>
      <c r="AF9" s="20">
        <f>Z9+AA9+AC9+AE9</f>
        <v>86.363752500000004</v>
      </c>
    </row>
    <row r="10" spans="1:32" x14ac:dyDescent="0.25">
      <c r="A10" s="257">
        <v>1</v>
      </c>
      <c r="B10" s="257">
        <v>2.6</v>
      </c>
      <c r="C10" s="257">
        <v>2.75</v>
      </c>
      <c r="D10" s="257">
        <v>2.0249999999999999</v>
      </c>
      <c r="E10" s="257">
        <f>'Analisi dei Carichi Solaio VI'!$S$3-'Analisi dei Carichi Pilastr'!$E$3/2</f>
        <v>1.6</v>
      </c>
      <c r="F10" s="82">
        <v>1.4750000000000001</v>
      </c>
      <c r="G10" s="20">
        <f>C10*D10</f>
        <v>5.5687499999999996</v>
      </c>
      <c r="H10" s="257">
        <f>E10*F10</f>
        <v>2.3600000000000003</v>
      </c>
      <c r="I10" s="117">
        <f>$D$3*B10</f>
        <v>13.65</v>
      </c>
      <c r="J10" s="20">
        <f>N3*(C10+D10)</f>
        <v>20.198250000000005</v>
      </c>
      <c r="K10" s="20">
        <f>I3*G10</f>
        <v>18.93375</v>
      </c>
      <c r="L10" s="20">
        <f>$Y$3*H10</f>
        <v>6.136000000000001</v>
      </c>
      <c r="M10" s="20">
        <v>1.3</v>
      </c>
      <c r="N10" s="20">
        <f>K3*G10+L3*(C10+D10)</f>
        <v>43.742800000000003</v>
      </c>
      <c r="O10" s="20">
        <f>$Z$3*H10</f>
        <v>2.3010000000000006</v>
      </c>
      <c r="P10" s="20">
        <v>1.5</v>
      </c>
      <c r="Q10" s="257">
        <f>M3*G10</f>
        <v>11.137499999999999</v>
      </c>
      <c r="R10" s="20">
        <v>1.5</v>
      </c>
      <c r="S10" s="20">
        <f>$AA$3*H10</f>
        <v>9.4400000000000013</v>
      </c>
      <c r="T10" s="20">
        <v>1.5</v>
      </c>
      <c r="U10" s="20">
        <v>1</v>
      </c>
      <c r="V10" s="20">
        <f>(I10+J10+K10+L10)*M10</f>
        <v>76.593400000000017</v>
      </c>
      <c r="W10" s="20">
        <f t="shared" si="0"/>
        <v>69.065700000000007</v>
      </c>
      <c r="X10" s="20">
        <f t="shared" si="1"/>
        <v>30.866250000000001</v>
      </c>
      <c r="Y10" s="20">
        <f>V10+W10+X10</f>
        <v>176.52535000000003</v>
      </c>
      <c r="Z10" s="20">
        <f t="shared" si="2"/>
        <v>58.918000000000013</v>
      </c>
      <c r="AA10" s="20">
        <f t="shared" si="3"/>
        <v>46.043800000000005</v>
      </c>
      <c r="AB10" s="257">
        <v>0.3</v>
      </c>
      <c r="AC10" s="20">
        <f>Q10*AB10</f>
        <v>3.3412499999999996</v>
      </c>
      <c r="AD10" s="20">
        <v>0.3</v>
      </c>
      <c r="AE10" s="20">
        <f t="shared" si="4"/>
        <v>2.8320000000000003</v>
      </c>
      <c r="AF10" s="20">
        <f>Z10+AA10+AC10+AE10</f>
        <v>111.13505000000001</v>
      </c>
    </row>
    <row r="12" spans="1:32" ht="15.75" x14ac:dyDescent="0.25">
      <c r="A12" s="404" t="s">
        <v>172</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6"/>
    </row>
    <row r="13" spans="1:32" x14ac:dyDescent="0.25">
      <c r="A13" s="399"/>
      <c r="B13" s="399"/>
      <c r="C13" s="399"/>
      <c r="D13" s="399"/>
      <c r="E13" s="399"/>
      <c r="F13" s="399"/>
      <c r="G13" s="399"/>
      <c r="H13" s="399"/>
      <c r="I13" s="400"/>
      <c r="J13" s="398" t="s">
        <v>168</v>
      </c>
      <c r="K13" s="399"/>
      <c r="L13" s="399"/>
      <c r="M13" s="399"/>
      <c r="N13" s="399"/>
      <c r="O13" s="399"/>
      <c r="P13" s="399"/>
      <c r="Q13" s="399"/>
      <c r="R13" s="399"/>
      <c r="S13" s="399"/>
      <c r="T13" s="399"/>
      <c r="U13" s="400"/>
      <c r="V13" s="398" t="s">
        <v>169</v>
      </c>
      <c r="W13" s="399"/>
      <c r="X13" s="399"/>
      <c r="Y13" s="399"/>
      <c r="Z13" s="400"/>
      <c r="AA13" s="100"/>
    </row>
    <row r="14" spans="1:32" ht="62.25" x14ac:dyDescent="0.25">
      <c r="A14" s="250" t="s">
        <v>157</v>
      </c>
      <c r="B14" s="252" t="s">
        <v>158</v>
      </c>
      <c r="C14" s="252" t="s">
        <v>167</v>
      </c>
      <c r="D14" s="252" t="s">
        <v>167</v>
      </c>
      <c r="E14" s="252" t="s">
        <v>302</v>
      </c>
      <c r="F14" s="252" t="s">
        <v>167</v>
      </c>
      <c r="G14" s="252" t="s">
        <v>167</v>
      </c>
      <c r="H14" s="252" t="s">
        <v>167</v>
      </c>
      <c r="I14" s="252" t="s">
        <v>303</v>
      </c>
      <c r="J14" s="252" t="s">
        <v>273</v>
      </c>
      <c r="K14" s="252" t="s">
        <v>310</v>
      </c>
      <c r="L14" s="252" t="s">
        <v>271</v>
      </c>
      <c r="M14" s="138" t="s">
        <v>56</v>
      </c>
      <c r="N14" s="252" t="s">
        <v>270</v>
      </c>
      <c r="O14" s="138" t="s">
        <v>57</v>
      </c>
      <c r="P14" s="252" t="s">
        <v>267</v>
      </c>
      <c r="Q14" s="138" t="s">
        <v>58</v>
      </c>
      <c r="R14" s="111" t="s">
        <v>244</v>
      </c>
      <c r="S14" s="111" t="s">
        <v>243</v>
      </c>
      <c r="T14" s="111" t="s">
        <v>279</v>
      </c>
      <c r="U14" s="133" t="s">
        <v>280</v>
      </c>
      <c r="V14" s="134" t="s">
        <v>281</v>
      </c>
      <c r="W14" s="111" t="s">
        <v>282</v>
      </c>
      <c r="X14" s="135" t="s">
        <v>63</v>
      </c>
      <c r="Y14" s="241" t="s">
        <v>301</v>
      </c>
      <c r="Z14" s="133" t="s">
        <v>280</v>
      </c>
      <c r="AA14" s="72"/>
    </row>
    <row r="15" spans="1:32" x14ac:dyDescent="0.25">
      <c r="A15" s="257">
        <v>11</v>
      </c>
      <c r="B15" s="257">
        <v>2.6</v>
      </c>
      <c r="C15" s="257">
        <v>5.4749999999999996</v>
      </c>
      <c r="D15" s="257">
        <v>5.625</v>
      </c>
      <c r="E15" s="20">
        <f>C15*D15</f>
        <v>30.796874999999996</v>
      </c>
      <c r="F15" s="82">
        <v>2.8250000000000002</v>
      </c>
      <c r="G15" s="82">
        <v>2.65</v>
      </c>
      <c r="H15" s="82">
        <v>2.9750000000000001</v>
      </c>
      <c r="I15" s="82">
        <v>2.65</v>
      </c>
      <c r="J15" s="20">
        <f>$D$3*B15</f>
        <v>13.65</v>
      </c>
      <c r="K15" s="20">
        <f>N3*(F15+G15+H15)+I15*X3</f>
        <v>42.633499999999998</v>
      </c>
      <c r="L15" s="20">
        <f>$I$3*E15</f>
        <v>104.70937499999999</v>
      </c>
      <c r="M15" s="257">
        <v>1.3</v>
      </c>
      <c r="N15" s="20">
        <f>U3*E15+V3*(F15+G15)</f>
        <v>117.531825</v>
      </c>
      <c r="O15" s="20">
        <v>1.5</v>
      </c>
      <c r="P15" s="20">
        <f>M3*E15</f>
        <v>61.593749999999993</v>
      </c>
      <c r="Q15" s="20">
        <v>1.5</v>
      </c>
      <c r="R15" s="20">
        <f>(J15+K15+L15)*M15</f>
        <v>209.29073750000001</v>
      </c>
      <c r="S15" s="20">
        <f>(N15)*O15</f>
        <v>176.29773749999998</v>
      </c>
      <c r="T15" s="257">
        <f>P15*Q15</f>
        <v>92.390624999999986</v>
      </c>
      <c r="U15" s="20">
        <f>T15+R15+S15</f>
        <v>477.97909999999996</v>
      </c>
      <c r="V15" s="20">
        <f>J15+K15+L15</f>
        <v>160.992875</v>
      </c>
      <c r="W15" s="20">
        <f>N15</f>
        <v>117.531825</v>
      </c>
      <c r="X15" s="20">
        <v>0.3</v>
      </c>
      <c r="Y15" s="257">
        <f>X15*P15</f>
        <v>18.478124999999999</v>
      </c>
      <c r="Z15" s="20">
        <f>V15+W15+Y15</f>
        <v>297.00282499999997</v>
      </c>
    </row>
    <row r="16" spans="1:32" x14ac:dyDescent="0.25">
      <c r="A16" s="255"/>
      <c r="B16" s="255"/>
      <c r="C16" s="255"/>
      <c r="D16" s="255"/>
      <c r="E16" s="12"/>
      <c r="F16" s="12"/>
      <c r="G16" s="12"/>
      <c r="H16" s="12"/>
      <c r="I16" s="255"/>
      <c r="J16" s="12"/>
      <c r="K16" s="255"/>
      <c r="L16" s="131"/>
      <c r="M16" s="255"/>
      <c r="N16" s="12"/>
      <c r="O16" s="255"/>
      <c r="P16" s="131"/>
      <c r="Q16" s="131"/>
      <c r="R16" s="131"/>
      <c r="S16" s="12"/>
    </row>
    <row r="17" spans="1:19" x14ac:dyDescent="0.25">
      <c r="A17" s="255"/>
      <c r="B17" s="255"/>
      <c r="C17" s="255"/>
      <c r="D17" s="255"/>
      <c r="E17" s="255"/>
      <c r="F17" s="12"/>
      <c r="G17" s="12"/>
      <c r="H17" s="12"/>
      <c r="I17" s="255"/>
      <c r="J17" s="255"/>
      <c r="K17" s="255"/>
      <c r="L17" s="255"/>
      <c r="M17" s="255"/>
      <c r="N17" s="255"/>
      <c r="O17" s="12"/>
      <c r="P17" s="12"/>
      <c r="Q17" s="255"/>
      <c r="R17" s="255"/>
      <c r="S17" s="255"/>
    </row>
    <row r="18" spans="1:19" x14ac:dyDescent="0.25">
      <c r="A18" s="255"/>
      <c r="B18" s="255"/>
      <c r="F18" s="12"/>
      <c r="G18" s="12"/>
      <c r="H18" s="12"/>
      <c r="I18" s="12"/>
      <c r="J18" s="255"/>
      <c r="K18" s="12"/>
      <c r="O18" s="12"/>
    </row>
    <row r="19" spans="1:19" x14ac:dyDescent="0.25">
      <c r="M19" s="236"/>
      <c r="N19" s="236"/>
      <c r="O19" s="236"/>
      <c r="P19" s="236"/>
      <c r="Q19" s="236"/>
      <c r="R19" s="236"/>
      <c r="S19" s="236"/>
    </row>
    <row r="20" spans="1:19" x14ac:dyDescent="0.25">
      <c r="N20" s="54"/>
      <c r="P20" s="54"/>
      <c r="Q20" s="58"/>
      <c r="R20" s="54"/>
      <c r="S20" s="56"/>
    </row>
    <row r="21" spans="1:19" x14ac:dyDescent="0.25">
      <c r="A21" s="255"/>
      <c r="N21" s="12"/>
      <c r="O21" s="255"/>
      <c r="P21" s="12"/>
      <c r="Q21" s="86"/>
      <c r="R21" s="255"/>
      <c r="S21" s="12"/>
    </row>
  </sheetData>
  <mergeCells count="15">
    <mergeCell ref="A12:Z12"/>
    <mergeCell ref="A13:I13"/>
    <mergeCell ref="J13:U13"/>
    <mergeCell ref="V13:Z13"/>
    <mergeCell ref="Q1:R1"/>
    <mergeCell ref="S1:W1"/>
    <mergeCell ref="A5:AF5"/>
    <mergeCell ref="Y1:AA1"/>
    <mergeCell ref="I6:Y6"/>
    <mergeCell ref="A1:D1"/>
    <mergeCell ref="E1:F1"/>
    <mergeCell ref="G1:H1"/>
    <mergeCell ref="I1:M1"/>
    <mergeCell ref="O1:P1"/>
    <mergeCell ref="Z6:AF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90" zoomScaleNormal="90" workbookViewId="0">
      <selection activeCell="I18" sqref="I18"/>
    </sheetView>
  </sheetViews>
  <sheetFormatPr defaultRowHeight="15" x14ac:dyDescent="0.25"/>
  <cols>
    <col min="1" max="1" width="18.140625" customWidth="1"/>
    <col min="9" max="9" width="14.140625" customWidth="1"/>
  </cols>
  <sheetData>
    <row r="1" spans="1:9" ht="15.75" x14ac:dyDescent="0.25">
      <c r="A1" s="397"/>
      <c r="B1" s="397"/>
      <c r="C1" s="397"/>
      <c r="D1" s="397"/>
      <c r="E1" s="397"/>
      <c r="F1" s="397"/>
      <c r="G1" s="397"/>
      <c r="H1" s="234" t="s">
        <v>240</v>
      </c>
      <c r="I1" s="234" t="s">
        <v>241</v>
      </c>
    </row>
    <row r="2" spans="1:9" ht="35.25" x14ac:dyDescent="0.25">
      <c r="B2" s="251" t="s">
        <v>256</v>
      </c>
      <c r="C2" s="252" t="s">
        <v>257</v>
      </c>
      <c r="D2" s="252" t="s">
        <v>258</v>
      </c>
      <c r="E2" s="252" t="s">
        <v>259</v>
      </c>
      <c r="F2" s="252" t="s">
        <v>260</v>
      </c>
      <c r="G2" s="252" t="s">
        <v>261</v>
      </c>
      <c r="H2" s="252" t="s">
        <v>236</v>
      </c>
      <c r="I2" s="253" t="s">
        <v>237</v>
      </c>
    </row>
    <row r="3" spans="1:9" x14ac:dyDescent="0.25">
      <c r="A3" s="257" t="s">
        <v>109</v>
      </c>
      <c r="B3" s="11">
        <f>'Analisi dei Carichi Solaio Tipo'!E12</f>
        <v>3.4000000000000004</v>
      </c>
      <c r="C3" s="225">
        <f>'Analisi dei Carichi Solaio Tipo'!J12</f>
        <v>2.7600000000000002</v>
      </c>
      <c r="D3" s="225">
        <f>'Analisi dei Carichi Solaio Tipo'!E19</f>
        <v>2</v>
      </c>
      <c r="E3" s="225">
        <f>'Analisi dei Carichi Solaio Tipo'!A22</f>
        <v>4.4200000000000008</v>
      </c>
      <c r="F3" s="225">
        <f>'Analisi dei Carichi Solaio Tipo'!B22</f>
        <v>4.1400000000000006</v>
      </c>
      <c r="G3" s="225">
        <f>'Analisi dei Carichi Solaio Tipo'!C22</f>
        <v>3</v>
      </c>
      <c r="H3" s="225">
        <f>'Analisi dei Carichi Solaio Tipo'!F22</f>
        <v>11.560000000000002</v>
      </c>
      <c r="I3" s="225">
        <f>'Analisi dei Carichi Solaio Tipo'!F29</f>
        <v>6.76</v>
      </c>
    </row>
    <row r="4" spans="1:9" x14ac:dyDescent="0.25">
      <c r="A4" s="257" t="s">
        <v>112</v>
      </c>
      <c r="B4" s="11">
        <f>'Analisi dei Carichi Solaio Tipo'!O12</f>
        <v>2.6</v>
      </c>
      <c r="C4" s="11">
        <f>'Analisi dei Carichi Solaio Tipo'!T12</f>
        <v>0.97500000000000009</v>
      </c>
      <c r="D4" s="225">
        <f>'Analisi dei Carichi Solaio Tipo'!L19</f>
        <v>4</v>
      </c>
      <c r="E4" s="225">
        <f>'Analisi dei Carichi Solaio Tipo'!H22</f>
        <v>3.3800000000000003</v>
      </c>
      <c r="F4" s="225">
        <f>'Analisi dei Carichi Solaio Tipo'!I22</f>
        <v>1.4625000000000001</v>
      </c>
      <c r="G4" s="225">
        <f>'Analisi dei Carichi Solaio Tipo'!J22</f>
        <v>6</v>
      </c>
      <c r="H4" s="225">
        <f>'Analisi dei Carichi Solaio Tipo'!M22</f>
        <v>10.842500000000001</v>
      </c>
      <c r="I4" s="225">
        <f>'Analisi dei Carichi Solaio Tipo'!M29</f>
        <v>4.7750000000000004</v>
      </c>
    </row>
    <row r="5" spans="1:9" ht="33" x14ac:dyDescent="0.25">
      <c r="A5" s="84"/>
      <c r="B5" s="251" t="s">
        <v>248</v>
      </c>
      <c r="C5" s="252" t="s">
        <v>254</v>
      </c>
      <c r="D5" s="252" t="s">
        <v>250</v>
      </c>
      <c r="E5" s="252" t="s">
        <v>251</v>
      </c>
      <c r="F5" s="252" t="s">
        <v>252</v>
      </c>
      <c r="G5" s="252" t="s">
        <v>255</v>
      </c>
      <c r="H5" s="252" t="s">
        <v>238</v>
      </c>
      <c r="I5" s="253" t="s">
        <v>239</v>
      </c>
    </row>
    <row r="6" spans="1:9" x14ac:dyDescent="0.25">
      <c r="A6" s="257" t="s">
        <v>430</v>
      </c>
      <c r="B6" s="225">
        <f>'Analisi dei Carichi Trave Emerg'!D3</f>
        <v>5.25</v>
      </c>
      <c r="C6" s="11"/>
      <c r="D6" s="11"/>
      <c r="E6" s="225">
        <f>'Analisi dei Carichi Trave Emerg'!D3*'Analisi dei Carichi Trave Emerg'!C21</f>
        <v>6.8250000000000002</v>
      </c>
      <c r="F6" s="84"/>
      <c r="G6" s="84"/>
      <c r="H6" s="225">
        <f>E6</f>
        <v>6.8250000000000002</v>
      </c>
      <c r="I6" s="225">
        <f>B6</f>
        <v>5.25</v>
      </c>
    </row>
    <row r="7" spans="1:9" x14ac:dyDescent="0.25">
      <c r="A7" s="257" t="s">
        <v>463</v>
      </c>
      <c r="B7" s="11">
        <f>'Analisi dei Carichi Trave Spess'!D3</f>
        <v>6.0000000000000009</v>
      </c>
      <c r="C7" s="11"/>
      <c r="D7" s="11"/>
      <c r="E7" s="11">
        <f>'Analisi dei Carichi Trave Spess'!D3*'Analisi dei Carichi Trave Spess'!C14</f>
        <v>7.8000000000000016</v>
      </c>
      <c r="F7" s="84"/>
      <c r="G7" s="84"/>
      <c r="H7" s="225">
        <f>E7</f>
        <v>7.8000000000000016</v>
      </c>
      <c r="I7" s="225">
        <f>B7</f>
        <v>6.0000000000000009</v>
      </c>
    </row>
    <row r="8" spans="1:9" ht="33" x14ac:dyDescent="0.25">
      <c r="A8" s="274"/>
      <c r="B8" s="321" t="s">
        <v>308</v>
      </c>
      <c r="C8" s="11"/>
      <c r="D8" s="11"/>
      <c r="E8" s="322" t="s">
        <v>244</v>
      </c>
      <c r="F8" s="84"/>
      <c r="G8" s="84"/>
      <c r="H8" s="322" t="s">
        <v>244</v>
      </c>
      <c r="I8" s="321" t="s">
        <v>308</v>
      </c>
    </row>
    <row r="9" spans="1:9" x14ac:dyDescent="0.25">
      <c r="A9" s="257" t="s">
        <v>157</v>
      </c>
      <c r="B9" s="225">
        <f>'Analisi dei Carichi Pilastro'!I8</f>
        <v>13.65</v>
      </c>
      <c r="C9" s="11"/>
      <c r="D9" s="11"/>
      <c r="E9" s="225">
        <f>'Analisi dei Carichi Pilastro'!I8*'Analisi dei Carichi Pilastro'!M8</f>
        <v>17.745000000000001</v>
      </c>
      <c r="F9" s="84"/>
      <c r="G9" s="84"/>
      <c r="H9" s="225">
        <f>E9</f>
        <v>17.745000000000001</v>
      </c>
      <c r="I9" s="225">
        <f>B9</f>
        <v>13.65</v>
      </c>
    </row>
    <row r="10" spans="1:9" x14ac:dyDescent="0.25">
      <c r="A10" s="255"/>
      <c r="B10" s="227"/>
      <c r="C10" s="249"/>
      <c r="D10" s="249"/>
      <c r="E10" s="227"/>
      <c r="H10" s="227"/>
      <c r="I10" s="227"/>
    </row>
    <row r="11" spans="1:9" ht="15.75" x14ac:dyDescent="0.25">
      <c r="A11" s="420" t="s">
        <v>48</v>
      </c>
      <c r="B11" s="421"/>
      <c r="C11" s="421"/>
      <c r="D11" s="421"/>
      <c r="E11" s="421"/>
      <c r="F11" s="421"/>
      <c r="G11" s="421"/>
      <c r="H11" s="421"/>
      <c r="I11" s="422"/>
    </row>
    <row r="12" spans="1:9" ht="15.75" x14ac:dyDescent="0.25">
      <c r="A12" s="257"/>
      <c r="B12" s="246"/>
      <c r="C12" s="247"/>
      <c r="D12" s="247"/>
      <c r="E12" s="247"/>
      <c r="F12" s="247"/>
      <c r="G12" s="247"/>
      <c r="H12" s="247"/>
      <c r="I12" s="247"/>
    </row>
    <row r="13" spans="1:9" ht="33" x14ac:dyDescent="0.25">
      <c r="A13" s="423" t="s">
        <v>242</v>
      </c>
      <c r="B13" s="251" t="s">
        <v>457</v>
      </c>
      <c r="C13" s="252" t="s">
        <v>458</v>
      </c>
      <c r="D13" s="252" t="s">
        <v>250</v>
      </c>
      <c r="E13" s="252" t="s">
        <v>251</v>
      </c>
      <c r="F13" s="252" t="s">
        <v>252</v>
      </c>
      <c r="G13" s="252" t="s">
        <v>459</v>
      </c>
      <c r="H13" s="252" t="s">
        <v>460</v>
      </c>
      <c r="I13" s="253" t="s">
        <v>461</v>
      </c>
    </row>
    <row r="14" spans="1:9" x14ac:dyDescent="0.25">
      <c r="A14" s="424"/>
      <c r="B14" s="20">
        <f>'Analisi dei Carichi Trave Emerg'!B19+'Analisi dei Carichi Trave Emerg'!B21+'Analisi dei Carichi Trave Emerg'!B23+'Analisi dei Carichi Trave Emerg'!B25</f>
        <v>22.913530789723488</v>
      </c>
      <c r="C14" s="20">
        <f>'Analisi dei Carichi Trave Emerg'!D19+'Analisi dei Carichi Trave Emerg'!D21+'Analisi dei Carichi Trave Emerg'!D23+'Analisi dei Carichi Trave Emerg'!D25</f>
        <v>21.561092243623115</v>
      </c>
      <c r="D14" s="20">
        <f>'Analisi dei Carichi Trave Emerg'!F19+'Analisi dei Carichi Trave Emerg'!F21+'Analisi dei Carichi Trave Emerg'!H21+'Analisi dei Carichi Trave Emerg'!J21+'Analisi dei Carichi Trave Emerg'!F23+'Analisi dei Carichi Trave Emerg'!H23+'Analisi dei Carichi Trave Emerg'!J23+'Analisi dei Carichi Trave Emerg'!F25+'Analisi dei Carichi Trave Emerg'!H25+'Analisi dei Carichi Trave Emerg'!J25</f>
        <v>12.610176991150443</v>
      </c>
      <c r="E14" s="20">
        <f>'Analisi dei Carichi Trave Emerg'!L19+'Analisi dei Carichi Trave Emerg'!L21+'Analisi dei Carichi Trave Emerg'!L23+'Analisi dei Carichi Trave Emerg'!L25</f>
        <v>29.78759002664054</v>
      </c>
      <c r="F14" s="20">
        <f>'Analisi dei Carichi Trave Emerg'!M19+'Analisi dei Carichi Trave Emerg'!M21+'Analisi dei Carichi Trave Emerg'!M23+'Analisi dei Carichi Trave Emerg'!M25</f>
        <v>32.341638365434669</v>
      </c>
      <c r="G14" s="20">
        <f>'Analisi dei Carichi Trave Emerg'!N19+'Analisi dei Carichi Trave Emerg'!N21+'Analisi dei Carichi Trave Emerg'!N23+'Analisi dei Carichi Trave Emerg'!N25</f>
        <v>18.915265486725662</v>
      </c>
      <c r="H14" s="20">
        <f>'Analisi dei Carichi Trave Emerg'!O26</f>
        <v>81.044493878800864</v>
      </c>
      <c r="I14" s="20">
        <f>'Analisi dei Carichi Trave Emerg'!AC26</f>
        <v>48.257676130691735</v>
      </c>
    </row>
    <row r="15" spans="1:9" ht="33" x14ac:dyDescent="0.25">
      <c r="A15" s="423" t="s">
        <v>304</v>
      </c>
      <c r="B15" s="321" t="s">
        <v>457</v>
      </c>
      <c r="C15" s="322" t="s">
        <v>458</v>
      </c>
      <c r="D15" s="322" t="s">
        <v>250</v>
      </c>
      <c r="E15" s="322" t="s">
        <v>251</v>
      </c>
      <c r="F15" s="322" t="s">
        <v>252</v>
      </c>
      <c r="G15" s="322" t="s">
        <v>459</v>
      </c>
      <c r="H15" s="322" t="s">
        <v>460</v>
      </c>
      <c r="I15" s="323" t="s">
        <v>461</v>
      </c>
    </row>
    <row r="16" spans="1:9" x14ac:dyDescent="0.25">
      <c r="A16" s="424"/>
      <c r="B16" s="20">
        <f>'Analisi dei Carichi Trave Emerg'!B28</f>
        <v>17.175061728395065</v>
      </c>
      <c r="C16" s="20">
        <f>'Analisi dei Carichi Trave Emerg'!D28</f>
        <v>14.880148148148148</v>
      </c>
      <c r="D16" s="20">
        <f>'Analisi dei Carichi Trave Emerg'!F28</f>
        <v>5.5</v>
      </c>
      <c r="E16" s="20">
        <f>'Analisi dei Carichi Trave Emerg'!L28</f>
        <v>22.327580246913584</v>
      </c>
      <c r="F16" s="20">
        <f>'Analisi dei Carichi Trave Emerg'!M28</f>
        <v>22.32022222222222</v>
      </c>
      <c r="G16" s="20">
        <f>'Analisi dei Carichi Trave Emerg'!N28</f>
        <v>16.546296296296298</v>
      </c>
      <c r="H16" s="20">
        <f>'Analisi dei Carichi Trave Emerg'!O28</f>
        <v>61.194098765432102</v>
      </c>
      <c r="I16" s="20">
        <f>'Analisi dei Carichi Trave Emerg'!AC28</f>
        <v>35.355209876543213</v>
      </c>
    </row>
    <row r="17" spans="1:9" ht="33" x14ac:dyDescent="0.25">
      <c r="A17" s="423" t="s">
        <v>305</v>
      </c>
      <c r="B17" s="321" t="s">
        <v>457</v>
      </c>
      <c r="C17" s="322" t="s">
        <v>458</v>
      </c>
      <c r="D17" s="322" t="s">
        <v>250</v>
      </c>
      <c r="E17" s="322" t="s">
        <v>251</v>
      </c>
      <c r="F17" s="322" t="s">
        <v>252</v>
      </c>
      <c r="G17" s="322" t="s">
        <v>459</v>
      </c>
      <c r="H17" s="322" t="s">
        <v>460</v>
      </c>
      <c r="I17" s="323" t="s">
        <v>461</v>
      </c>
    </row>
    <row r="18" spans="1:9" x14ac:dyDescent="0.25">
      <c r="A18" s="424"/>
      <c r="B18" s="20">
        <f>'Analisi dei Carichi Trave Emerg'!B30</f>
        <v>14.345000000000002</v>
      </c>
      <c r="C18" s="20">
        <f>'Analisi dei Carichi Trave Emerg'!D30</f>
        <v>14.153</v>
      </c>
      <c r="D18" s="20">
        <f>'Analisi dei Carichi Trave Emerg'!F30</f>
        <v>5.95</v>
      </c>
      <c r="E18" s="20">
        <f>'Analisi dei Carichi Trave Emerg'!L30</f>
        <v>18.648500000000002</v>
      </c>
      <c r="F18" s="20">
        <f>'Analisi dei Carichi Trave Emerg'!M30</f>
        <v>21.229500000000002</v>
      </c>
      <c r="G18" s="20">
        <f>'Analisi dei Carichi Trave Emerg'!N30</f>
        <v>8.9250000000000007</v>
      </c>
      <c r="H18" s="20">
        <f>'Analisi dei Carichi Trave Emerg'!O30</f>
        <v>48.802999999999997</v>
      </c>
      <c r="I18" s="20">
        <f>'Analisi dei Carichi Trave Emerg'!AC30</f>
        <v>30.283000000000005</v>
      </c>
    </row>
    <row r="19" spans="1:9" x14ac:dyDescent="0.25">
      <c r="A19" s="258"/>
      <c r="B19" s="144"/>
      <c r="C19" s="144"/>
      <c r="D19" s="144"/>
      <c r="E19" s="144"/>
      <c r="F19" s="144"/>
      <c r="G19" s="144"/>
      <c r="I19" s="144"/>
    </row>
    <row r="20" spans="1:9" ht="15.75" x14ac:dyDescent="0.25">
      <c r="A20" s="404" t="s">
        <v>92</v>
      </c>
      <c r="B20" s="405"/>
      <c r="C20" s="405"/>
      <c r="D20" s="405"/>
      <c r="E20" s="405"/>
      <c r="F20" s="405"/>
      <c r="G20" s="405"/>
      <c r="H20" s="405"/>
      <c r="I20" s="406"/>
    </row>
    <row r="21" spans="1:9" ht="51" customHeight="1" x14ac:dyDescent="0.25">
      <c r="A21" s="425" t="s">
        <v>306</v>
      </c>
      <c r="B21" s="321" t="s">
        <v>457</v>
      </c>
      <c r="C21" s="322" t="s">
        <v>458</v>
      </c>
      <c r="D21" s="322" t="s">
        <v>250</v>
      </c>
      <c r="E21" s="322" t="s">
        <v>251</v>
      </c>
      <c r="F21" s="322" t="s">
        <v>252</v>
      </c>
      <c r="G21" s="322" t="s">
        <v>459</v>
      </c>
      <c r="H21" s="322" t="s">
        <v>460</v>
      </c>
      <c r="I21" s="323" t="s">
        <v>461</v>
      </c>
    </row>
    <row r="22" spans="1:9" x14ac:dyDescent="0.25">
      <c r="A22" s="426"/>
      <c r="B22" s="20">
        <f>'Analisi dei Carichi Trave Spess'!B14</f>
        <v>18.835000000000004</v>
      </c>
      <c r="C22" s="20">
        <f>'Analisi dei Carichi Trave Spess'!D14</f>
        <v>13.179000000000002</v>
      </c>
      <c r="D22" s="20">
        <f>'Analisi dei Carichi Trave Spess'!F14</f>
        <v>9.5500000000000007</v>
      </c>
      <c r="E22" s="20">
        <f>'Analisi dei Carichi Trave Spess'!H14</f>
        <v>24.485500000000005</v>
      </c>
      <c r="F22" s="20">
        <f>'Analisi dei Carichi Trave Spess'!I14</f>
        <v>19.768500000000003</v>
      </c>
      <c r="G22" s="20">
        <f>'Analisi dei Carichi Trave Spess'!J14</f>
        <v>14.325000000000001</v>
      </c>
      <c r="H22" s="20">
        <f>'Analisi dei Carichi Trave Spess'!K14</f>
        <v>58.579000000000008</v>
      </c>
      <c r="I22" s="20">
        <f>'Analisi dei Carichi Trave Spess'!U14</f>
        <v>34.879000000000012</v>
      </c>
    </row>
    <row r="23" spans="1:9" ht="51" customHeight="1" x14ac:dyDescent="0.25">
      <c r="A23" s="423" t="s">
        <v>307</v>
      </c>
      <c r="B23" s="321" t="s">
        <v>457</v>
      </c>
      <c r="C23" s="322" t="s">
        <v>458</v>
      </c>
      <c r="D23" s="322" t="s">
        <v>250</v>
      </c>
      <c r="E23" s="322" t="s">
        <v>251</v>
      </c>
      <c r="F23" s="322" t="s">
        <v>252</v>
      </c>
      <c r="G23" s="322" t="s">
        <v>459</v>
      </c>
      <c r="H23" s="322" t="s">
        <v>460</v>
      </c>
      <c r="I23" s="323" t="s">
        <v>461</v>
      </c>
    </row>
    <row r="24" spans="1:9" x14ac:dyDescent="0.25">
      <c r="A24" s="424"/>
      <c r="B24" s="20">
        <f>'Analisi dei Carichi Trave Spess'!B16</f>
        <v>18.580000000000002</v>
      </c>
      <c r="C24" s="20">
        <f>'Analisi dei Carichi Trave Spess'!D16</f>
        <v>12.972000000000001</v>
      </c>
      <c r="D24" s="20">
        <f>'Analisi dei Carichi Trave Spess'!F16</f>
        <v>9.4</v>
      </c>
      <c r="E24" s="20">
        <f>'Analisi dei Carichi Trave Spess'!H16</f>
        <v>24.154000000000003</v>
      </c>
      <c r="F24" s="20">
        <f>'Analisi dei Carichi Trave Spess'!I16</f>
        <v>19.458000000000002</v>
      </c>
      <c r="G24" s="20">
        <f>'Analisi dei Carichi Trave Spess'!J16</f>
        <v>14.100000000000001</v>
      </c>
      <c r="H24" s="20">
        <f>'Analisi dei Carichi Trave Spess'!K16</f>
        <v>57.71200000000001</v>
      </c>
      <c r="I24" s="20">
        <f>'Analisi dei Carichi Trave Spess'!U16</f>
        <v>34.372</v>
      </c>
    </row>
    <row r="26" spans="1:9" ht="15.75" x14ac:dyDescent="0.25">
      <c r="A26" s="404" t="s">
        <v>90</v>
      </c>
      <c r="B26" s="405"/>
      <c r="C26" s="405"/>
      <c r="D26" s="405"/>
      <c r="E26" s="405"/>
      <c r="F26" s="405"/>
      <c r="G26" s="405"/>
      <c r="H26" s="405"/>
      <c r="I26" s="406"/>
    </row>
    <row r="27" spans="1:9" ht="33" x14ac:dyDescent="0.25">
      <c r="A27" s="250" t="s">
        <v>157</v>
      </c>
      <c r="B27" s="251" t="s">
        <v>308</v>
      </c>
      <c r="C27" s="252" t="s">
        <v>309</v>
      </c>
      <c r="D27" s="252" t="s">
        <v>267</v>
      </c>
      <c r="E27" s="252" t="s">
        <v>244</v>
      </c>
      <c r="F27" s="252" t="s">
        <v>243</v>
      </c>
      <c r="G27" s="252" t="s">
        <v>279</v>
      </c>
      <c r="H27" s="252" t="s">
        <v>263</v>
      </c>
      <c r="I27" s="253" t="s">
        <v>264</v>
      </c>
    </row>
    <row r="28" spans="1:9" x14ac:dyDescent="0.25">
      <c r="A28" s="11">
        <v>13</v>
      </c>
      <c r="B28" s="20">
        <f>'Analisi dei Carichi Pilastro'!I8+'Analisi dei Carichi Pilastro'!J8+'Analisi dei Carichi Pilastro'!K8+'Analisi dei Carichi Pilastro'!L8</f>
        <v>44.723624999999998</v>
      </c>
      <c r="C28" s="20">
        <f>'Analisi dei Carichi Pilastro'!N8+'Analisi dei Carichi Pilastro'!O8</f>
        <v>35.382825000000004</v>
      </c>
      <c r="D28" s="20">
        <f>'Analisi dei Carichi Pilastro'!Q8+'Analisi dei Carichi Pilastro'!S8</f>
        <v>8.2012499999999999</v>
      </c>
      <c r="E28" s="20">
        <f>'Analisi dei Carichi Pilastro'!V8</f>
        <v>58.140712499999999</v>
      </c>
      <c r="F28" s="20">
        <f>'Analisi dei Carichi Pilastro'!W8</f>
        <v>53.07423750000001</v>
      </c>
      <c r="G28" s="20">
        <f>'Analisi dei Carichi Pilastro'!X8</f>
        <v>12.301874999999999</v>
      </c>
      <c r="H28" s="20">
        <f>'Analisi dei Carichi Pilastro'!Y8</f>
        <v>123.51682500000001</v>
      </c>
      <c r="I28" s="20">
        <f>'Analisi dei Carichi Pilastro'!AF8</f>
        <v>82.566824999999994</v>
      </c>
    </row>
    <row r="29" spans="1:9" x14ac:dyDescent="0.25">
      <c r="A29" s="11">
        <v>26</v>
      </c>
      <c r="B29" s="20">
        <f>'Analisi dei Carichi Pilastro'!I9+'Analisi dei Carichi Pilastro'!J9+'Analisi dei Carichi Pilastro'!K9+'Analisi dei Carichi Pilastro'!L9</f>
        <v>44.716152500000007</v>
      </c>
      <c r="C29" s="20">
        <f>'Analisi dei Carichi Pilastro'!N9+'Analisi dei Carichi Pilastro'!O9</f>
        <v>38.799662500000004</v>
      </c>
      <c r="D29" s="20">
        <f>'Analisi dei Carichi Pilastro'!Q9+'Analisi dei Carichi Pilastro'!S9</f>
        <v>9.4931250000000009</v>
      </c>
      <c r="E29" s="20">
        <f>'Analisi dei Carichi Pilastro'!V9</f>
        <v>58.130998250000012</v>
      </c>
      <c r="F29" s="20">
        <f>'Analisi dei Carichi Pilastro'!W9</f>
        <v>58.199493750000002</v>
      </c>
      <c r="G29" s="20">
        <f>'Analisi dei Carichi Pilastro'!X9</f>
        <v>14.239687500000002</v>
      </c>
      <c r="H29" s="20">
        <f>'Analisi dei Carichi Pilastro'!Y9</f>
        <v>130.57017950000002</v>
      </c>
      <c r="I29" s="20">
        <f>'Analisi dei Carichi Pilastro'!AF9</f>
        <v>86.363752500000004</v>
      </c>
    </row>
    <row r="30" spans="1:9" x14ac:dyDescent="0.25">
      <c r="A30" s="260">
        <v>1</v>
      </c>
      <c r="B30" s="20">
        <f>'Analisi dei Carichi Pilastro'!I10+'Analisi dei Carichi Pilastro'!J10+'Analisi dei Carichi Pilastro'!K10+'Analisi dei Carichi Pilastro'!L10</f>
        <v>58.918000000000013</v>
      </c>
      <c r="C30" s="20">
        <f>'Analisi dei Carichi Pilastro'!N10+'Analisi dei Carichi Pilastro'!O10</f>
        <v>46.043800000000005</v>
      </c>
      <c r="D30" s="20">
        <f>'Analisi dei Carichi Pilastro'!Q10+'Analisi dei Carichi Pilastro'!S10</f>
        <v>20.577500000000001</v>
      </c>
      <c r="E30" s="20">
        <f>'Analisi dei Carichi Pilastro'!V10</f>
        <v>76.593400000000017</v>
      </c>
      <c r="F30" s="20">
        <f>'Analisi dei Carichi Pilastro'!W10</f>
        <v>69.065700000000007</v>
      </c>
      <c r="G30" s="20">
        <f>'Analisi dei Carichi Pilastro'!X10</f>
        <v>30.866250000000001</v>
      </c>
      <c r="H30" s="20">
        <f>'Analisi dei Carichi Pilastro'!Y10</f>
        <v>176.52535000000003</v>
      </c>
      <c r="I30" s="20">
        <f>'Analisi dei Carichi Pilastro'!AF10</f>
        <v>111.13505000000001</v>
      </c>
    </row>
    <row r="31" spans="1:9" x14ac:dyDescent="0.25">
      <c r="A31" s="248"/>
      <c r="B31" s="115"/>
      <c r="C31" s="116"/>
      <c r="D31" s="116"/>
      <c r="E31" s="116"/>
      <c r="F31" s="116"/>
      <c r="G31" s="116"/>
      <c r="H31" s="116"/>
      <c r="I31" s="116"/>
    </row>
    <row r="32" spans="1:9" ht="15.75" x14ac:dyDescent="0.25">
      <c r="A32" s="420" t="s">
        <v>170</v>
      </c>
      <c r="B32" s="421"/>
      <c r="C32" s="421"/>
      <c r="D32" s="421"/>
      <c r="E32" s="421"/>
      <c r="F32" s="421"/>
      <c r="G32" s="421"/>
      <c r="H32" s="421"/>
      <c r="I32" s="422"/>
    </row>
    <row r="33" spans="1:9" ht="33" x14ac:dyDescent="0.25">
      <c r="A33" s="250" t="s">
        <v>157</v>
      </c>
      <c r="B33" s="251" t="s">
        <v>308</v>
      </c>
      <c r="C33" s="252" t="s">
        <v>309</v>
      </c>
      <c r="D33" s="252" t="s">
        <v>267</v>
      </c>
      <c r="E33" s="252" t="s">
        <v>244</v>
      </c>
      <c r="F33" s="252" t="s">
        <v>243</v>
      </c>
      <c r="G33" s="252" t="s">
        <v>279</v>
      </c>
      <c r="H33" s="252" t="s">
        <v>263</v>
      </c>
      <c r="I33" s="253" t="s">
        <v>264</v>
      </c>
    </row>
    <row r="34" spans="1:9" x14ac:dyDescent="0.25">
      <c r="A34" s="257">
        <v>11</v>
      </c>
      <c r="B34" s="20">
        <f>'Analisi dei Carichi Pilastro'!J15+'Analisi dei Carichi Pilastro'!K15+'Analisi dei Carichi Pilastro'!L15</f>
        <v>160.992875</v>
      </c>
      <c r="C34" s="20">
        <f>'Analisi dei Carichi Pilastro'!N15</f>
        <v>117.531825</v>
      </c>
      <c r="D34" s="20">
        <f>'Analisi dei Carichi Pilastro'!P15</f>
        <v>61.593749999999993</v>
      </c>
      <c r="E34" s="20">
        <f>'Analisi dei Carichi Pilastro'!R15</f>
        <v>209.29073750000001</v>
      </c>
      <c r="F34" s="20">
        <f>'Analisi dei Carichi Pilastro'!S15</f>
        <v>176.29773749999998</v>
      </c>
      <c r="G34" s="20">
        <f>'Analisi dei Carichi Pilastro'!T15</f>
        <v>92.390624999999986</v>
      </c>
      <c r="H34" s="20">
        <f>'Analisi dei Carichi Pilastro'!U15</f>
        <v>477.97909999999996</v>
      </c>
      <c r="I34" s="20">
        <f>'Analisi dei Carichi Pilastro'!Z15</f>
        <v>297.00282499999997</v>
      </c>
    </row>
  </sheetData>
  <mergeCells count="10">
    <mergeCell ref="A1:G1"/>
    <mergeCell ref="A11:I11"/>
    <mergeCell ref="A26:I26"/>
    <mergeCell ref="A32:I32"/>
    <mergeCell ref="A13:A14"/>
    <mergeCell ref="A20:I20"/>
    <mergeCell ref="A21:A22"/>
    <mergeCell ref="A23:A24"/>
    <mergeCell ref="A17:A18"/>
    <mergeCell ref="A15:A16"/>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
  <sheetViews>
    <sheetView zoomScale="90" zoomScaleNormal="90" workbookViewId="0">
      <selection activeCell="D4" sqref="D4"/>
    </sheetView>
  </sheetViews>
  <sheetFormatPr defaultRowHeight="15" x14ac:dyDescent="0.25"/>
  <cols>
    <col min="1" max="1" width="12.85546875" bestFit="1" customWidth="1"/>
    <col min="2" max="2" width="12.140625" bestFit="1" customWidth="1"/>
    <col min="3" max="3" width="9.7109375" bestFit="1" customWidth="1"/>
    <col min="4" max="4" width="14.7109375" bestFit="1" customWidth="1"/>
    <col min="5" max="5" width="11.85546875" bestFit="1" customWidth="1"/>
    <col min="6" max="6" width="11.5703125" bestFit="1" customWidth="1"/>
    <col min="7" max="7" width="12.85546875" customWidth="1"/>
    <col min="8" max="8" width="7.5703125" bestFit="1" customWidth="1"/>
    <col min="9" max="9" width="11.28515625" bestFit="1" customWidth="1"/>
    <col min="10" max="10" width="12.140625" bestFit="1" customWidth="1"/>
    <col min="11" max="11" width="12" bestFit="1" customWidth="1"/>
    <col min="13" max="13" width="12.7109375" customWidth="1"/>
  </cols>
  <sheetData>
    <row r="1" spans="1:15" ht="47.25" x14ac:dyDescent="0.25">
      <c r="A1" s="4" t="s">
        <v>1</v>
      </c>
      <c r="B1" s="5" t="s">
        <v>44</v>
      </c>
      <c r="C1" s="5" t="s">
        <v>45</v>
      </c>
      <c r="D1" s="5" t="s">
        <v>3</v>
      </c>
      <c r="E1" s="5" t="s">
        <v>4</v>
      </c>
      <c r="F1" s="5" t="s">
        <v>46</v>
      </c>
      <c r="G1" s="10" t="s">
        <v>42</v>
      </c>
      <c r="H1" s="5" t="s">
        <v>5</v>
      </c>
      <c r="I1" s="5" t="s">
        <v>6</v>
      </c>
      <c r="J1" s="5" t="s">
        <v>41</v>
      </c>
      <c r="K1" s="4" t="s">
        <v>11</v>
      </c>
      <c r="L1" s="10" t="s">
        <v>43</v>
      </c>
      <c r="M1" s="4" t="s">
        <v>9</v>
      </c>
      <c r="N1" s="10" t="s">
        <v>7</v>
      </c>
      <c r="O1" s="10" t="s">
        <v>8</v>
      </c>
    </row>
    <row r="2" spans="1:15" ht="15.75" x14ac:dyDescent="0.25">
      <c r="A2" s="27" t="s">
        <v>2</v>
      </c>
      <c r="B2" s="35">
        <v>45.87</v>
      </c>
      <c r="C2" s="35">
        <v>8</v>
      </c>
      <c r="D2" s="35">
        <f>C2*B2</f>
        <v>366.96</v>
      </c>
      <c r="E2" s="35">
        <f t="shared" ref="E2:E8" si="0">D2*1000/9.81</f>
        <v>37406.727828746174</v>
      </c>
      <c r="F2" s="27">
        <v>3.3</v>
      </c>
      <c r="G2" s="8">
        <v>0.5</v>
      </c>
      <c r="H2" s="4">
        <f>F2*A3</f>
        <v>19.799999999999997</v>
      </c>
      <c r="I2" s="6">
        <f>H2+G2</f>
        <v>20.299999999999997</v>
      </c>
      <c r="J2" s="4">
        <v>7.4999999999999997E-2</v>
      </c>
      <c r="K2" s="6">
        <v>0.73</v>
      </c>
      <c r="L2" s="3">
        <v>1.3</v>
      </c>
      <c r="M2" s="3">
        <f>IF(M1="CDA",4.5*L2,3*L2)</f>
        <v>5.8500000000000005</v>
      </c>
      <c r="N2" s="3">
        <v>1</v>
      </c>
      <c r="O2" s="11">
        <f>M2*N2</f>
        <v>5.8500000000000005</v>
      </c>
    </row>
    <row r="3" spans="1:15" ht="15.75" x14ac:dyDescent="0.25">
      <c r="A3" s="30">
        <v>6</v>
      </c>
      <c r="B3" s="36">
        <f>428.34</f>
        <v>428.34</v>
      </c>
      <c r="C3" s="36">
        <v>9</v>
      </c>
      <c r="D3" s="36">
        <f t="shared" ref="D3:D8" si="1">C3*B3</f>
        <v>3855.06</v>
      </c>
      <c r="E3" s="36">
        <f t="shared" si="0"/>
        <v>392972.47706422018</v>
      </c>
      <c r="F3" s="30">
        <v>3.3</v>
      </c>
    </row>
    <row r="4" spans="1:15" ht="15.75" x14ac:dyDescent="0.25">
      <c r="A4" s="30">
        <v>5</v>
      </c>
      <c r="B4" s="36">
        <v>428.34</v>
      </c>
      <c r="C4" s="36">
        <v>10</v>
      </c>
      <c r="D4" s="36">
        <f>C4*B4</f>
        <v>4283.3999999999996</v>
      </c>
      <c r="E4" s="36">
        <f t="shared" si="0"/>
        <v>436636.08562691131</v>
      </c>
      <c r="F4" s="30">
        <v>3.3</v>
      </c>
      <c r="G4" s="7"/>
      <c r="H4" s="7"/>
      <c r="I4" s="7"/>
      <c r="J4" s="7"/>
    </row>
    <row r="5" spans="1:15" ht="15.75" x14ac:dyDescent="0.25">
      <c r="A5" s="30">
        <v>4</v>
      </c>
      <c r="B5" s="36">
        <v>428.34</v>
      </c>
      <c r="C5" s="36">
        <v>10</v>
      </c>
      <c r="D5" s="36">
        <f t="shared" si="1"/>
        <v>4283.3999999999996</v>
      </c>
      <c r="E5" s="36">
        <f t="shared" si="0"/>
        <v>436636.08562691131</v>
      </c>
      <c r="F5" s="30">
        <v>3.3</v>
      </c>
      <c r="G5" s="7"/>
      <c r="H5" s="7"/>
      <c r="I5" s="7"/>
    </row>
    <row r="6" spans="1:15" ht="15.75" x14ac:dyDescent="0.25">
      <c r="A6" s="30">
        <v>3</v>
      </c>
      <c r="B6" s="36">
        <v>428.34</v>
      </c>
      <c r="C6" s="36">
        <v>10</v>
      </c>
      <c r="D6" s="36">
        <f t="shared" si="1"/>
        <v>4283.3999999999996</v>
      </c>
      <c r="E6" s="36">
        <f t="shared" si="0"/>
        <v>436636.08562691131</v>
      </c>
      <c r="F6" s="30">
        <v>3.3</v>
      </c>
      <c r="G6" s="7"/>
      <c r="H6" s="7"/>
      <c r="I6" s="7"/>
    </row>
    <row r="7" spans="1:15" ht="15.75" x14ac:dyDescent="0.25">
      <c r="A7" s="30">
        <v>2</v>
      </c>
      <c r="B7" s="36">
        <v>428.34</v>
      </c>
      <c r="C7" s="36">
        <v>10</v>
      </c>
      <c r="D7" s="36">
        <f t="shared" si="1"/>
        <v>4283.3999999999996</v>
      </c>
      <c r="E7" s="36">
        <f t="shared" si="0"/>
        <v>436636.08562691131</v>
      </c>
      <c r="F7" s="30">
        <v>3.3</v>
      </c>
      <c r="G7" s="7"/>
      <c r="H7" s="7"/>
      <c r="I7" s="7"/>
      <c r="J7" s="7"/>
    </row>
    <row r="8" spans="1:15" ht="15.75" x14ac:dyDescent="0.25">
      <c r="A8" s="21">
        <v>1</v>
      </c>
      <c r="B8" s="37">
        <v>428.34</v>
      </c>
      <c r="C8" s="37">
        <v>10</v>
      </c>
      <c r="D8" s="37">
        <f t="shared" si="1"/>
        <v>4283.3999999999996</v>
      </c>
      <c r="E8" s="37">
        <f t="shared" si="0"/>
        <v>436636.08562691131</v>
      </c>
      <c r="F8" s="21">
        <v>3.3</v>
      </c>
      <c r="G8" s="7"/>
      <c r="H8" s="7"/>
      <c r="I8" s="7"/>
      <c r="J8" s="7"/>
    </row>
    <row r="9" spans="1:15" ht="15.75" x14ac:dyDescent="0.25">
      <c r="A9" s="4" t="s">
        <v>32</v>
      </c>
      <c r="B9" s="7"/>
      <c r="C9" s="7"/>
      <c r="D9" s="6">
        <f>SUM(D2:D8)</f>
        <v>25639.019999999997</v>
      </c>
      <c r="E9" s="9">
        <f>SUM(E2:E8)</f>
        <v>2613559.6330275228</v>
      </c>
      <c r="F9" s="7"/>
      <c r="G9" s="7"/>
      <c r="H9" s="7"/>
      <c r="I9" s="7"/>
      <c r="J9" s="7"/>
    </row>
    <row r="10" spans="1:15" ht="15.75" x14ac:dyDescent="0.25">
      <c r="A10" s="13"/>
      <c r="B10" s="7">
        <v>33.32</v>
      </c>
      <c r="C10" s="7"/>
      <c r="D10" s="14"/>
      <c r="E10" s="15"/>
      <c r="F10" s="7"/>
      <c r="G10" s="7"/>
      <c r="H10" s="7"/>
      <c r="I10" s="7"/>
      <c r="J10" s="7"/>
    </row>
    <row r="11" spans="1:15" ht="29.25" customHeight="1" x14ac:dyDescent="0.25">
      <c r="A11" s="398" t="s">
        <v>19</v>
      </c>
      <c r="B11" s="399"/>
      <c r="C11" s="399"/>
      <c r="D11" s="399"/>
      <c r="E11" s="399"/>
      <c r="F11" s="399"/>
      <c r="G11" s="399"/>
      <c r="H11" s="399"/>
      <c r="I11" s="399"/>
      <c r="J11" s="400"/>
      <c r="K11" s="437" t="s">
        <v>17</v>
      </c>
      <c r="L11" s="437"/>
      <c r="M11" s="437"/>
    </row>
    <row r="12" spans="1:15" ht="60" x14ac:dyDescent="0.25">
      <c r="A12" s="16" t="s">
        <v>34</v>
      </c>
      <c r="B12" s="2" t="s">
        <v>173</v>
      </c>
      <c r="C12" s="2" t="s">
        <v>175</v>
      </c>
      <c r="D12" s="2" t="s">
        <v>174</v>
      </c>
      <c r="E12" s="61" t="s">
        <v>176</v>
      </c>
      <c r="F12" s="17" t="s">
        <v>35</v>
      </c>
      <c r="G12" s="17" t="s">
        <v>36</v>
      </c>
      <c r="H12" s="17" t="s">
        <v>37</v>
      </c>
      <c r="I12" s="17" t="s">
        <v>38</v>
      </c>
      <c r="J12" s="18" t="s">
        <v>39</v>
      </c>
      <c r="K12" s="19" t="s">
        <v>18</v>
      </c>
      <c r="L12" s="17" t="s">
        <v>40</v>
      </c>
      <c r="M12" s="18" t="s">
        <v>12</v>
      </c>
    </row>
    <row r="13" spans="1:15" x14ac:dyDescent="0.25">
      <c r="A13" s="3" t="s">
        <v>13</v>
      </c>
      <c r="B13" s="118">
        <v>475</v>
      </c>
      <c r="C13" s="118">
        <v>0.22600000000000001</v>
      </c>
      <c r="D13" s="118">
        <v>2.258</v>
      </c>
      <c r="E13" s="82">
        <v>0.41799999999999998</v>
      </c>
      <c r="F13" s="3">
        <v>50</v>
      </c>
      <c r="G13" s="3">
        <v>1</v>
      </c>
      <c r="H13" s="3" t="s">
        <v>14</v>
      </c>
      <c r="I13" s="3" t="s">
        <v>15</v>
      </c>
      <c r="J13" s="3" t="s">
        <v>16</v>
      </c>
      <c r="K13" s="3">
        <f>O2</f>
        <v>5.8500000000000005</v>
      </c>
      <c r="L13" s="3">
        <v>7.8E-2</v>
      </c>
      <c r="M13" s="20">
        <f>0.85*D9*L13</f>
        <v>1699.8670259999999</v>
      </c>
    </row>
  </sheetData>
  <mergeCells count="2">
    <mergeCell ref="K11:M11"/>
    <mergeCell ref="A11:J11"/>
  </mergeCells>
  <dataValidations disablePrompts="1" count="2">
    <dataValidation type="list" allowBlank="1" showInputMessage="1" showErrorMessage="1" sqref="M1">
      <formula1>q</formula1>
    </dataValidation>
    <dataValidation type="list" allowBlank="1" showInputMessage="1" showErrorMessage="1" sqref="N2">
      <formula1>kR</formula1>
    </dataValidation>
  </dataValidation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zoomScale="90" zoomScaleNormal="90" workbookViewId="0">
      <selection activeCell="F3" sqref="F3"/>
    </sheetView>
  </sheetViews>
  <sheetFormatPr defaultRowHeight="15" x14ac:dyDescent="0.25"/>
  <cols>
    <col min="1" max="1" width="10.140625" bestFit="1" customWidth="1"/>
    <col min="2" max="2" width="10.28515625" customWidth="1"/>
    <col min="4" max="4" width="10.42578125" bestFit="1" customWidth="1"/>
    <col min="7" max="7" width="15.42578125" bestFit="1" customWidth="1"/>
    <col min="13" max="13" width="14.5703125" bestFit="1" customWidth="1"/>
    <col min="15" max="15" width="10.28515625" customWidth="1"/>
  </cols>
  <sheetData>
    <row r="1" spans="1:15" ht="90" x14ac:dyDescent="0.25">
      <c r="A1" s="4" t="s">
        <v>1</v>
      </c>
      <c r="B1" s="5" t="s">
        <v>3</v>
      </c>
      <c r="C1" s="24" t="s">
        <v>21</v>
      </c>
      <c r="D1" s="24" t="s">
        <v>20</v>
      </c>
      <c r="E1" s="266" t="s">
        <v>379</v>
      </c>
      <c r="F1" s="24" t="s">
        <v>22</v>
      </c>
      <c r="G1" s="25" t="s">
        <v>209</v>
      </c>
      <c r="H1" s="25" t="s">
        <v>23</v>
      </c>
      <c r="I1" s="25" t="s">
        <v>26</v>
      </c>
      <c r="J1" s="25" t="s">
        <v>24</v>
      </c>
      <c r="K1" s="25" t="s">
        <v>25</v>
      </c>
      <c r="L1" s="25" t="s">
        <v>27</v>
      </c>
      <c r="M1" s="25" t="s">
        <v>47</v>
      </c>
      <c r="N1" s="26" t="s">
        <v>28</v>
      </c>
      <c r="O1" s="38" t="s">
        <v>29</v>
      </c>
    </row>
    <row r="2" spans="1:15" ht="15.75" x14ac:dyDescent="0.25">
      <c r="A2" s="27" t="s">
        <v>2</v>
      </c>
      <c r="B2" s="28">
        <f>'Dimens. Verifica'!D2</f>
        <v>366.96</v>
      </c>
      <c r="C2" s="29">
        <f>'Dimens. Verifica'!F2*(A3+A8)</f>
        <v>23.099999999999998</v>
      </c>
      <c r="D2" s="28">
        <f>B2*C2</f>
        <v>8476.775999999998</v>
      </c>
      <c r="E2" s="28">
        <f>(D2/$D$9)*'Dimens. Verifica'!$M$13</f>
        <v>48.195659680282844</v>
      </c>
      <c r="F2" s="28">
        <f>E2</f>
        <v>48.195659680282844</v>
      </c>
      <c r="G2" s="29">
        <v>3</v>
      </c>
      <c r="H2" s="28">
        <f t="shared" ref="H2:H8" si="0">F2/$G$3</f>
        <v>3.7073584369448342</v>
      </c>
      <c r="I2" s="29">
        <f>0.5*'Dimens. Verifica'!F2</f>
        <v>1.65</v>
      </c>
      <c r="J2" s="28">
        <f>H2*I2</f>
        <v>6.1171414209589763</v>
      </c>
      <c r="K2" s="28">
        <f t="shared" ref="K2:K6" si="1">H2*I2</f>
        <v>6.1171414209589763</v>
      </c>
      <c r="L2" s="28">
        <f>K2/2</f>
        <v>3.0585707104794881</v>
      </c>
      <c r="M2" s="142">
        <f>4</f>
        <v>4</v>
      </c>
      <c r="N2" s="28">
        <f>2*L2/$M$2</f>
        <v>1.5292853552397441</v>
      </c>
      <c r="O2" s="28">
        <f>N2</f>
        <v>1.5292853552397441</v>
      </c>
    </row>
    <row r="3" spans="1:15" ht="15.75" x14ac:dyDescent="0.25">
      <c r="A3" s="30">
        <v>6</v>
      </c>
      <c r="B3" s="31">
        <f>'Dimens. Verifica'!D3</f>
        <v>3855.06</v>
      </c>
      <c r="C3" s="32">
        <f>'Dimens. Verifica'!F3*A3</f>
        <v>19.799999999999997</v>
      </c>
      <c r="D3" s="31">
        <f t="shared" ref="D3:D8" si="2">B3*C3</f>
        <v>76330.187999999995</v>
      </c>
      <c r="E3" s="31">
        <f>(D3/$D$9)*'Dimens. Verifica'!$M$13</f>
        <v>433.98383585693546</v>
      </c>
      <c r="F3" s="31">
        <f>E2+E3</f>
        <v>482.17949553721832</v>
      </c>
      <c r="G3" s="32">
        <v>13</v>
      </c>
      <c r="H3" s="31">
        <f t="shared" si="0"/>
        <v>37.090730425939867</v>
      </c>
      <c r="I3" s="32">
        <f>0.5*'Dimens. Verifica'!F3</f>
        <v>1.65</v>
      </c>
      <c r="J3" s="31">
        <f>H3*I3</f>
        <v>61.199705202800779</v>
      </c>
      <c r="K3" s="31">
        <f t="shared" si="1"/>
        <v>61.199705202800779</v>
      </c>
      <c r="L3" s="31">
        <f>(K3+J2)/2</f>
        <v>33.658423311879879</v>
      </c>
      <c r="M3" s="33"/>
      <c r="N3" s="31">
        <f t="shared" ref="N3:N7" si="3">2*L3/$M$2</f>
        <v>16.82921165593994</v>
      </c>
      <c r="O3" s="31">
        <f>N2+N3</f>
        <v>18.358497011179683</v>
      </c>
    </row>
    <row r="4" spans="1:15" ht="15.75" x14ac:dyDescent="0.25">
      <c r="A4" s="30">
        <v>5</v>
      </c>
      <c r="B4" s="31">
        <f>'Dimens. Verifica'!D4</f>
        <v>4283.3999999999996</v>
      </c>
      <c r="C4" s="32">
        <f>'Dimens. Verifica'!F4*A4</f>
        <v>16.5</v>
      </c>
      <c r="D4" s="31">
        <f t="shared" si="2"/>
        <v>70676.099999999991</v>
      </c>
      <c r="E4" s="31">
        <f>(D4/$D$9)*'Dimens. Verifica'!$M$13</f>
        <v>401.836885052718</v>
      </c>
      <c r="F4" s="31">
        <f>E2+E3+E4</f>
        <v>884.01638058993626</v>
      </c>
      <c r="G4" s="32">
        <v>13</v>
      </c>
      <c r="H4" s="31">
        <f t="shared" si="0"/>
        <v>68.001260045379709</v>
      </c>
      <c r="I4" s="32">
        <f>0.5*'Dimens. Verifica'!F4</f>
        <v>1.65</v>
      </c>
      <c r="J4" s="31">
        <f t="shared" ref="J4:J6" si="4">H4*I4</f>
        <v>112.20207907487651</v>
      </c>
      <c r="K4" s="31">
        <f t="shared" si="1"/>
        <v>112.20207907487651</v>
      </c>
      <c r="L4" s="31">
        <f>(K4+J3)/2</f>
        <v>86.70089213883864</v>
      </c>
      <c r="M4" s="33"/>
      <c r="N4" s="31">
        <f t="shared" si="3"/>
        <v>43.35044606941932</v>
      </c>
      <c r="O4" s="31">
        <f>N2+N3+N4</f>
        <v>61.708943080598999</v>
      </c>
    </row>
    <row r="5" spans="1:15" ht="15.75" x14ac:dyDescent="0.25">
      <c r="A5" s="30">
        <v>4</v>
      </c>
      <c r="B5" s="31">
        <f>'Dimens. Verifica'!D5</f>
        <v>4283.3999999999996</v>
      </c>
      <c r="C5" s="32">
        <f>'Dimens. Verifica'!F5*A5</f>
        <v>13.2</v>
      </c>
      <c r="D5" s="31">
        <f t="shared" si="2"/>
        <v>56540.87999999999</v>
      </c>
      <c r="E5" s="31">
        <f>(D5/$D$9)*'Dimens. Verifica'!$M$13</f>
        <v>321.46950804217437</v>
      </c>
      <c r="F5" s="31">
        <f>E2+E3+E4+E5</f>
        <v>1205.4858886321106</v>
      </c>
      <c r="G5" s="32">
        <v>13</v>
      </c>
      <c r="H5" s="31">
        <f t="shared" si="0"/>
        <v>92.729683740931577</v>
      </c>
      <c r="I5" s="32">
        <f>0.5*'Dimens. Verifica'!F5</f>
        <v>1.65</v>
      </c>
      <c r="J5" s="31">
        <f t="shared" si="4"/>
        <v>153.0039781725371</v>
      </c>
      <c r="K5" s="31">
        <f t="shared" si="1"/>
        <v>153.0039781725371</v>
      </c>
      <c r="L5" s="31">
        <f>(K5+J4)/2</f>
        <v>132.60302862370679</v>
      </c>
      <c r="M5" s="33"/>
      <c r="N5" s="31">
        <f>2*L5/$M$2</f>
        <v>66.301514311853396</v>
      </c>
      <c r="O5" s="31">
        <f>N2+N3+N4+N5</f>
        <v>128.01045739245239</v>
      </c>
    </row>
    <row r="6" spans="1:15" ht="15.75" x14ac:dyDescent="0.25">
      <c r="A6" s="30">
        <v>3</v>
      </c>
      <c r="B6" s="31">
        <f>'Dimens. Verifica'!D6</f>
        <v>4283.3999999999996</v>
      </c>
      <c r="C6" s="32">
        <f>'Dimens. Verifica'!F6*A6</f>
        <v>9.8999999999999986</v>
      </c>
      <c r="D6" s="31">
        <f t="shared" si="2"/>
        <v>42405.659999999989</v>
      </c>
      <c r="E6" s="31">
        <f>(D6/$D$9)*'Dimens. Verifica'!$M$13</f>
        <v>241.10213103163079</v>
      </c>
      <c r="F6" s="31">
        <f>E2+E3+E4+E5+E6</f>
        <v>1446.5880196637413</v>
      </c>
      <c r="G6" s="32">
        <v>13</v>
      </c>
      <c r="H6" s="31">
        <f t="shared" si="0"/>
        <v>111.27600151259549</v>
      </c>
      <c r="I6" s="32">
        <f>0.5*'Dimens. Verifica'!F6</f>
        <v>1.65</v>
      </c>
      <c r="J6" s="31">
        <f t="shared" si="4"/>
        <v>183.60540249578253</v>
      </c>
      <c r="K6" s="31">
        <f t="shared" si="1"/>
        <v>183.60540249578253</v>
      </c>
      <c r="L6" s="31">
        <f t="shared" ref="L6" si="5">(K6+J5)/2</f>
        <v>168.30469033415983</v>
      </c>
      <c r="M6" s="33"/>
      <c r="N6" s="31">
        <f t="shared" si="3"/>
        <v>84.152345167079915</v>
      </c>
      <c r="O6" s="31">
        <f>N2+N3+N4+N5+N6</f>
        <v>212.16280255953231</v>
      </c>
    </row>
    <row r="7" spans="1:15" ht="15.75" x14ac:dyDescent="0.25">
      <c r="A7" s="30">
        <v>2</v>
      </c>
      <c r="B7" s="31">
        <f>'Dimens. Verifica'!D7</f>
        <v>4283.3999999999996</v>
      </c>
      <c r="C7" s="32">
        <f>'Dimens. Verifica'!F7*A7</f>
        <v>6.6</v>
      </c>
      <c r="D7" s="31">
        <f t="shared" si="2"/>
        <v>28270.439999999995</v>
      </c>
      <c r="E7" s="31">
        <f>(D7/$D$9)*'Dimens. Verifica'!$M$13</f>
        <v>160.73475402108718</v>
      </c>
      <c r="F7" s="31">
        <f>E2+E3+E4+E5+E6+E7</f>
        <v>1607.3227736848285</v>
      </c>
      <c r="G7" s="32">
        <v>13</v>
      </c>
      <c r="H7" s="31">
        <f>F7/$G$3</f>
        <v>123.64021336037142</v>
      </c>
      <c r="I7" s="32">
        <f>0.5*'Dimens. Verifica'!F7</f>
        <v>1.65</v>
      </c>
      <c r="J7" s="31">
        <f>H7*I7</f>
        <v>204.00635204461284</v>
      </c>
      <c r="K7" s="31">
        <f>H7*I7</f>
        <v>204.00635204461284</v>
      </c>
      <c r="L7" s="31">
        <f>(K7+J6)/2</f>
        <v>193.8058772701977</v>
      </c>
      <c r="M7" s="33"/>
      <c r="N7" s="31">
        <f t="shared" si="3"/>
        <v>96.902938635098849</v>
      </c>
      <c r="O7" s="31">
        <f>N2+N3+N4+N5+N6+N7</f>
        <v>309.06574119463119</v>
      </c>
    </row>
    <row r="8" spans="1:15" ht="15.75" x14ac:dyDescent="0.25">
      <c r="A8" s="21">
        <v>1</v>
      </c>
      <c r="B8" s="22">
        <f>'Dimens. Verifica'!D8</f>
        <v>4283.3999999999996</v>
      </c>
      <c r="C8" s="23">
        <f>('Dimens. Verifica'!F8+'Dimens. Verifica'!G2)*A8</f>
        <v>3.8</v>
      </c>
      <c r="D8" s="22">
        <f t="shared" si="2"/>
        <v>16276.919999999998</v>
      </c>
      <c r="E8" s="22">
        <f>(D8/$D$9)*'Dimens. Verifica'!$M$13</f>
        <v>92.54425231517142</v>
      </c>
      <c r="F8" s="22">
        <f>E2+E3+E4+E5+E6+E7+E8</f>
        <v>1699.8670259999999</v>
      </c>
      <c r="G8" s="23">
        <v>13</v>
      </c>
      <c r="H8" s="22">
        <f t="shared" si="0"/>
        <v>130.75900199999998</v>
      </c>
      <c r="I8" s="23">
        <f>0.7*'Dimens. Verifica'!F8</f>
        <v>2.3099999999999996</v>
      </c>
      <c r="J8" s="22">
        <f>H8*I8</f>
        <v>302.05329461999992</v>
      </c>
      <c r="K8" s="22">
        <f>H8*('Dimens. Verifica'!F8-(I8))</f>
        <v>129.45141198000002</v>
      </c>
      <c r="L8" s="22">
        <f>(K8+J7)/2</f>
        <v>166.72888201230643</v>
      </c>
      <c r="M8" s="34"/>
      <c r="N8" s="22">
        <f>2*L8/$M$2</f>
        <v>83.364441006153214</v>
      </c>
      <c r="O8" s="22">
        <f>N2+N3+N4+N5+N6+N7+N8</f>
        <v>392.43018220078443</v>
      </c>
    </row>
    <row r="9" spans="1:15" ht="15.75" x14ac:dyDescent="0.25">
      <c r="A9" s="21" t="s">
        <v>33</v>
      </c>
      <c r="D9" s="22">
        <f>SUM(D2:D8)</f>
        <v>298976.96399999992</v>
      </c>
    </row>
    <row r="10" spans="1:15" ht="15.75" x14ac:dyDescent="0.25">
      <c r="A10" s="13"/>
      <c r="D10" s="101"/>
    </row>
    <row r="11" spans="1:15" x14ac:dyDescent="0.25">
      <c r="A11" s="438" t="s">
        <v>31</v>
      </c>
      <c r="B11" s="439"/>
      <c r="C11" s="439"/>
      <c r="D11" s="439"/>
      <c r="E11" s="439"/>
      <c r="F11" s="439"/>
      <c r="G11" s="439"/>
      <c r="H11" s="439"/>
      <c r="I11" s="439"/>
      <c r="J11" s="439"/>
      <c r="K11" s="439"/>
      <c r="L11" s="439"/>
      <c r="M11" s="439"/>
      <c r="N11" s="439"/>
      <c r="O11" s="440"/>
    </row>
    <row r="12" spans="1:15" x14ac:dyDescent="0.25">
      <c r="A12" s="444"/>
      <c r="B12" s="445"/>
      <c r="C12" s="445"/>
      <c r="D12" s="445"/>
      <c r="E12" s="445"/>
      <c r="F12" s="445"/>
      <c r="G12" s="445"/>
      <c r="H12" s="445"/>
      <c r="I12" s="445"/>
      <c r="J12" s="445"/>
      <c r="K12" s="445"/>
      <c r="L12" s="445"/>
      <c r="M12" s="445"/>
      <c r="N12" s="445"/>
      <c r="O12" s="446"/>
    </row>
    <row r="13" spans="1:15" ht="15.75" x14ac:dyDescent="0.25">
      <c r="A13" s="13"/>
      <c r="D13" s="101"/>
    </row>
    <row r="14" spans="1:15" ht="75" x14ac:dyDescent="0.25">
      <c r="A14" s="13" t="str">
        <f>A1</f>
        <v>Impalcato</v>
      </c>
      <c r="D14" s="101"/>
      <c r="G14" s="267" t="s">
        <v>9</v>
      </c>
      <c r="H14" s="266" t="str">
        <f>H1</f>
        <v>V di pilastro       [kN]</v>
      </c>
      <c r="I14" s="266" t="str">
        <f t="shared" ref="I14:O14" si="6">I1</f>
        <v>Punto di nullo M pilastri       [m]</v>
      </c>
      <c r="J14" s="45" t="str">
        <f t="shared" si="6"/>
        <v>Momenti pilastri al piede               [kN m]</v>
      </c>
      <c r="K14" s="45" t="str">
        <f t="shared" si="6"/>
        <v>Momenti pilastri in testa           [kN m]</v>
      </c>
      <c r="L14" s="266" t="str">
        <f t="shared" si="6"/>
        <v>Momenti Trave           [kN m]</v>
      </c>
      <c r="M14" s="266" t="str">
        <f t="shared" si="6"/>
        <v>Ltrave, min* emergente con pilastri di coltello in direzione x [m]</v>
      </c>
      <c r="N14" s="266" t="str">
        <f t="shared" si="6"/>
        <v>Vtrave                [kN]</v>
      </c>
      <c r="O14" s="266" t="str">
        <f t="shared" si="6"/>
        <v>ΔNpilastro        [kN]</v>
      </c>
    </row>
    <row r="15" spans="1:15" ht="15.75" x14ac:dyDescent="0.25">
      <c r="A15" s="13" t="str">
        <f t="shared" ref="A15:A22" si="7">A2</f>
        <v>Torrino</v>
      </c>
      <c r="D15" s="101"/>
      <c r="G15" s="262">
        <f>IF(G14="CDA",1.5,1.3)</f>
        <v>1.5</v>
      </c>
      <c r="H15" s="46">
        <f>H2</f>
        <v>3.7073584369448342</v>
      </c>
      <c r="I15" s="46">
        <f>I2</f>
        <v>1.65</v>
      </c>
      <c r="J15" s="28">
        <f>J2*$G$15</f>
        <v>9.1757121314384644</v>
      </c>
      <c r="K15" s="28">
        <f>K2*$G$15</f>
        <v>9.1757121314384644</v>
      </c>
      <c r="L15" s="46">
        <f>K15/2</f>
        <v>4.5878560657192322</v>
      </c>
      <c r="M15" s="266">
        <f>M2</f>
        <v>4</v>
      </c>
      <c r="N15" s="49">
        <f>2*L15/$M$15</f>
        <v>2.2939280328596161</v>
      </c>
      <c r="O15" s="28">
        <f>N15</f>
        <v>2.2939280328596161</v>
      </c>
    </row>
    <row r="16" spans="1:15" ht="15.75" x14ac:dyDescent="0.25">
      <c r="A16" s="13">
        <f t="shared" si="7"/>
        <v>6</v>
      </c>
      <c r="D16" s="101"/>
      <c r="H16" s="47">
        <f t="shared" ref="H16:I16" si="8">H3</f>
        <v>37.090730425939867</v>
      </c>
      <c r="I16" s="47">
        <f t="shared" si="8"/>
        <v>1.65</v>
      </c>
      <c r="J16" s="31">
        <f t="shared" ref="J16:K16" si="9">J3*$G$15</f>
        <v>91.799557804201172</v>
      </c>
      <c r="K16" s="31">
        <f t="shared" si="9"/>
        <v>91.799557804201172</v>
      </c>
      <c r="L16" s="47">
        <f>(K16+J15)/2</f>
        <v>50.487634967819815</v>
      </c>
      <c r="N16" s="50">
        <f t="shared" ref="N16:N21" si="10">2*L16/$M$15</f>
        <v>25.243817483909908</v>
      </c>
      <c r="O16" s="31">
        <f>N15+N16</f>
        <v>27.537745516769522</v>
      </c>
    </row>
    <row r="17" spans="1:15" ht="15.75" x14ac:dyDescent="0.25">
      <c r="A17" s="13">
        <f t="shared" si="7"/>
        <v>5</v>
      </c>
      <c r="D17" s="101"/>
      <c r="H17" s="47">
        <f t="shared" ref="H17:I17" si="11">H4</f>
        <v>68.001260045379709</v>
      </c>
      <c r="I17" s="47">
        <f t="shared" si="11"/>
        <v>1.65</v>
      </c>
      <c r="J17" s="31">
        <f t="shared" ref="J17:K17" si="12">J4*$G$15</f>
        <v>168.30311861231476</v>
      </c>
      <c r="K17" s="31">
        <f t="shared" si="12"/>
        <v>168.30311861231476</v>
      </c>
      <c r="L17" s="47">
        <f t="shared" ref="L17:L20" si="13">(K17+J16)/2</f>
        <v>130.05133820825796</v>
      </c>
      <c r="N17" s="50">
        <f t="shared" si="10"/>
        <v>65.02566910412898</v>
      </c>
      <c r="O17" s="31">
        <f>N15+N16+N17</f>
        <v>92.563414620898499</v>
      </c>
    </row>
    <row r="18" spans="1:15" ht="15.75" x14ac:dyDescent="0.25">
      <c r="A18" s="13">
        <f t="shared" si="7"/>
        <v>4</v>
      </c>
      <c r="D18" s="101"/>
      <c r="H18" s="47">
        <f t="shared" ref="H18:I18" si="14">H5</f>
        <v>92.729683740931577</v>
      </c>
      <c r="I18" s="47">
        <f t="shared" si="14"/>
        <v>1.65</v>
      </c>
      <c r="J18" s="31">
        <f t="shared" ref="J18:K18" si="15">J5*$G$15</f>
        <v>229.50596725880564</v>
      </c>
      <c r="K18" s="31">
        <f t="shared" si="15"/>
        <v>229.50596725880564</v>
      </c>
      <c r="L18" s="47">
        <f t="shared" si="13"/>
        <v>198.90454293556019</v>
      </c>
      <c r="N18" s="50">
        <f t="shared" si="10"/>
        <v>99.452271467780093</v>
      </c>
      <c r="O18" s="31">
        <f>N15+N16+N17+N18</f>
        <v>192.01568608867859</v>
      </c>
    </row>
    <row r="19" spans="1:15" ht="15.75" x14ac:dyDescent="0.25">
      <c r="A19" s="13">
        <f t="shared" si="7"/>
        <v>3</v>
      </c>
      <c r="D19" s="101"/>
      <c r="H19" s="47">
        <f t="shared" ref="H19:I19" si="16">H6</f>
        <v>111.27600151259549</v>
      </c>
      <c r="I19" s="47">
        <f t="shared" si="16"/>
        <v>1.65</v>
      </c>
      <c r="J19" s="31">
        <f t="shared" ref="J19:K19" si="17">J6*$G$15</f>
        <v>275.40810374367379</v>
      </c>
      <c r="K19" s="31">
        <f t="shared" si="17"/>
        <v>275.40810374367379</v>
      </c>
      <c r="L19" s="47">
        <f t="shared" si="13"/>
        <v>252.45703550123972</v>
      </c>
      <c r="N19" s="50">
        <f t="shared" si="10"/>
        <v>126.22851775061986</v>
      </c>
      <c r="O19" s="31">
        <f>N15+N16+N17+N18+N19</f>
        <v>318.24420383929845</v>
      </c>
    </row>
    <row r="20" spans="1:15" ht="15.75" x14ac:dyDescent="0.25">
      <c r="A20" s="13">
        <f t="shared" si="7"/>
        <v>2</v>
      </c>
      <c r="D20" s="101"/>
      <c r="H20" s="47">
        <f t="shared" ref="H20:I20" si="18">H7</f>
        <v>123.64021336037142</v>
      </c>
      <c r="I20" s="47">
        <f t="shared" si="18"/>
        <v>1.65</v>
      </c>
      <c r="J20" s="31">
        <f>J7*$G$15</f>
        <v>306.00952806691924</v>
      </c>
      <c r="K20" s="31">
        <f t="shared" ref="K20" si="19">K7*$G$15</f>
        <v>306.00952806691924</v>
      </c>
      <c r="L20" s="47">
        <f t="shared" si="13"/>
        <v>290.70881590529655</v>
      </c>
      <c r="N20" s="50">
        <f t="shared" si="10"/>
        <v>145.35440795264827</v>
      </c>
      <c r="O20" s="31">
        <f>N15+N16+N17+N18+N19+N20</f>
        <v>463.59861179194672</v>
      </c>
    </row>
    <row r="21" spans="1:15" ht="15.75" x14ac:dyDescent="0.25">
      <c r="A21" s="13">
        <f t="shared" si="7"/>
        <v>1</v>
      </c>
      <c r="D21" s="101"/>
      <c r="H21" s="48">
        <f t="shared" ref="H21:I21" si="20">H8</f>
        <v>130.75900199999998</v>
      </c>
      <c r="I21" s="48">
        <f t="shared" si="20"/>
        <v>2.3099999999999996</v>
      </c>
      <c r="J21" s="22">
        <f>J8</f>
        <v>302.05329461999992</v>
      </c>
      <c r="K21" s="22">
        <f t="shared" ref="K21" si="21">K8*$G$15</f>
        <v>194.17711797000004</v>
      </c>
      <c r="L21" s="48">
        <f>(K21+J20)/2</f>
        <v>250.09332301845964</v>
      </c>
      <c r="N21" s="51">
        <f t="shared" si="10"/>
        <v>125.04666150922982</v>
      </c>
      <c r="O21" s="22">
        <f>N15+N16+N17+N18+N19+N20+N21</f>
        <v>588.64527330117653</v>
      </c>
    </row>
    <row r="22" spans="1:15" ht="15.75" x14ac:dyDescent="0.25">
      <c r="A22" s="13" t="str">
        <f t="shared" si="7"/>
        <v>TOT</v>
      </c>
      <c r="D22" s="101"/>
    </row>
    <row r="24" spans="1:15" ht="15" customHeight="1" x14ac:dyDescent="0.25">
      <c r="A24" s="438" t="s">
        <v>30</v>
      </c>
      <c r="B24" s="439"/>
      <c r="C24" s="439"/>
      <c r="D24" s="439"/>
      <c r="E24" s="439"/>
      <c r="F24" s="439"/>
      <c r="G24" s="439"/>
      <c r="H24" s="439"/>
      <c r="I24" s="439"/>
      <c r="J24" s="439"/>
      <c r="K24" s="439"/>
      <c r="L24" s="439"/>
      <c r="M24" s="439"/>
      <c r="N24" s="439"/>
      <c r="O24" s="440"/>
    </row>
    <row r="25" spans="1:15" x14ac:dyDescent="0.25">
      <c r="A25" s="441"/>
      <c r="B25" s="442"/>
      <c r="C25" s="442"/>
      <c r="D25" s="442"/>
      <c r="E25" s="442"/>
      <c r="F25" s="442"/>
      <c r="G25" s="442"/>
      <c r="H25" s="442"/>
      <c r="I25" s="442"/>
      <c r="J25" s="442"/>
      <c r="K25" s="442"/>
      <c r="L25" s="442"/>
      <c r="M25" s="442"/>
      <c r="N25" s="442"/>
      <c r="O25" s="443"/>
    </row>
    <row r="26" spans="1:15" x14ac:dyDescent="0.25">
      <c r="A26" s="444"/>
      <c r="B26" s="445"/>
      <c r="C26" s="445"/>
      <c r="D26" s="445"/>
      <c r="E26" s="445"/>
      <c r="F26" s="445"/>
      <c r="G26" s="445"/>
      <c r="H26" s="445"/>
      <c r="I26" s="445"/>
      <c r="J26" s="445"/>
      <c r="K26" s="445"/>
      <c r="L26" s="445"/>
      <c r="M26" s="445"/>
      <c r="N26" s="445"/>
      <c r="O26" s="446"/>
    </row>
    <row r="28" spans="1:15" ht="75" x14ac:dyDescent="0.25">
      <c r="A28" s="4" t="s">
        <v>1</v>
      </c>
      <c r="F28" s="2"/>
      <c r="G28" s="2"/>
      <c r="H28" s="39" t="str">
        <f t="shared" ref="H28:M28" si="22">H1</f>
        <v>V di pilastro       [kN]</v>
      </c>
      <c r="I28" s="39" t="str">
        <f t="shared" si="22"/>
        <v>Punto di nullo M pilastri       [m]</v>
      </c>
      <c r="J28" s="39" t="str">
        <f t="shared" si="22"/>
        <v>Momenti pilastri al piede               [kN m]</v>
      </c>
      <c r="K28" s="39" t="str">
        <f t="shared" si="22"/>
        <v>Momenti pilastri in testa           [kN m]</v>
      </c>
      <c r="L28" s="39" t="str">
        <f t="shared" si="22"/>
        <v>Momenti Trave           [kN m]</v>
      </c>
      <c r="M28" s="39" t="str">
        <f t="shared" si="22"/>
        <v>Ltrave, min* emergente con pilastri di coltello in direzione x [m]</v>
      </c>
      <c r="N28" s="39" t="str">
        <f t="shared" ref="N28:O28" si="23">N1</f>
        <v>Vtrave                [kN]</v>
      </c>
      <c r="O28" s="39" t="str">
        <f t="shared" si="23"/>
        <v>ΔNpilastro        [kN]</v>
      </c>
    </row>
    <row r="29" spans="1:15" ht="15.75" x14ac:dyDescent="0.25">
      <c r="A29" s="27" t="s">
        <v>2</v>
      </c>
      <c r="F29" s="41"/>
      <c r="G29" s="1"/>
      <c r="H29" s="28">
        <f t="shared" ref="H29:H35" si="24">H2+H2*20/100</f>
        <v>4.4488301243338011</v>
      </c>
      <c r="I29" s="29">
        <f t="shared" ref="I29:I35" si="25">I2</f>
        <v>1.65</v>
      </c>
      <c r="J29" s="28">
        <f>J2+J2*20/100</f>
        <v>7.3405697051507719</v>
      </c>
      <c r="K29" s="28">
        <f>K2+K2*20/100</f>
        <v>7.3405697051507719</v>
      </c>
      <c r="L29" s="46">
        <f>K29/2</f>
        <v>3.6702848525753859</v>
      </c>
      <c r="M29" s="40">
        <f>M2</f>
        <v>4</v>
      </c>
      <c r="N29" s="28">
        <f>2*L29/$M$29</f>
        <v>1.835142426287693</v>
      </c>
      <c r="O29" s="28">
        <f>N29</f>
        <v>1.835142426287693</v>
      </c>
    </row>
    <row r="30" spans="1:15" ht="15.75" x14ac:dyDescent="0.25">
      <c r="A30" s="30">
        <v>6</v>
      </c>
      <c r="F30" s="41"/>
      <c r="G30" s="1"/>
      <c r="H30" s="31">
        <f t="shared" si="24"/>
        <v>44.508876511127838</v>
      </c>
      <c r="I30" s="32">
        <f t="shared" si="25"/>
        <v>1.65</v>
      </c>
      <c r="J30" s="31">
        <f t="shared" ref="J30:K30" si="26">J3+J3*20/100</f>
        <v>73.43964624336094</v>
      </c>
      <c r="K30" s="31">
        <f t="shared" si="26"/>
        <v>73.43964624336094</v>
      </c>
      <c r="L30" s="47">
        <f>(K30+J29)/2</f>
        <v>40.390107974255855</v>
      </c>
      <c r="N30" s="31">
        <f t="shared" ref="N30:N35" si="27">2*L30/$M$29</f>
        <v>20.195053987127928</v>
      </c>
      <c r="O30" s="31">
        <f>N29+N30</f>
        <v>22.03019641341562</v>
      </c>
    </row>
    <row r="31" spans="1:15" ht="15.75" x14ac:dyDescent="0.25">
      <c r="A31" s="30">
        <v>5</v>
      </c>
      <c r="F31" s="41"/>
      <c r="G31" s="1"/>
      <c r="H31" s="31">
        <f t="shared" si="24"/>
        <v>81.601512054455654</v>
      </c>
      <c r="I31" s="32">
        <f t="shared" si="25"/>
        <v>1.65</v>
      </c>
      <c r="J31" s="31">
        <f t="shared" ref="J31:K31" si="28">J4+J4*20/100</f>
        <v>134.6424948898518</v>
      </c>
      <c r="K31" s="31">
        <f t="shared" si="28"/>
        <v>134.6424948898518</v>
      </c>
      <c r="L31" s="47">
        <f t="shared" ref="L31:L35" si="29">(K31+J30)/2</f>
        <v>104.04107056660638</v>
      </c>
      <c r="N31" s="31">
        <f t="shared" si="27"/>
        <v>52.02053528330319</v>
      </c>
      <c r="O31" s="31">
        <f>N29+N30+N31</f>
        <v>74.050731696718813</v>
      </c>
    </row>
    <row r="32" spans="1:15" ht="15.75" x14ac:dyDescent="0.25">
      <c r="A32" s="30">
        <v>4</v>
      </c>
      <c r="F32" s="41"/>
      <c r="G32" s="1"/>
      <c r="H32" s="31">
        <f t="shared" si="24"/>
        <v>111.2756204891179</v>
      </c>
      <c r="I32" s="32">
        <f t="shared" si="25"/>
        <v>1.65</v>
      </c>
      <c r="J32" s="31">
        <f t="shared" ref="J32:K32" si="30">J5+J5*20/100</f>
        <v>183.60477380704452</v>
      </c>
      <c r="K32" s="31">
        <f t="shared" si="30"/>
        <v>183.60477380704452</v>
      </c>
      <c r="L32" s="47">
        <f t="shared" si="29"/>
        <v>159.12363434844815</v>
      </c>
      <c r="N32" s="31">
        <f t="shared" si="27"/>
        <v>79.561817174224075</v>
      </c>
      <c r="O32" s="31">
        <f>N29+N30+N31+N32</f>
        <v>153.61254887094287</v>
      </c>
    </row>
    <row r="33" spans="1:15" ht="15.75" x14ac:dyDescent="0.25">
      <c r="A33" s="30">
        <v>3</v>
      </c>
      <c r="F33" s="41"/>
      <c r="G33" s="1"/>
      <c r="H33" s="31">
        <f t="shared" si="24"/>
        <v>133.53120181511457</v>
      </c>
      <c r="I33" s="32">
        <f t="shared" si="25"/>
        <v>1.65</v>
      </c>
      <c r="J33" s="31">
        <f t="shared" ref="J33:K33" si="31">J6+J6*20/100</f>
        <v>220.32648299493903</v>
      </c>
      <c r="K33" s="31">
        <f t="shared" si="31"/>
        <v>220.32648299493903</v>
      </c>
      <c r="L33" s="47">
        <f t="shared" si="29"/>
        <v>201.96562840099176</v>
      </c>
      <c r="N33" s="31">
        <f t="shared" si="27"/>
        <v>100.98281420049588</v>
      </c>
      <c r="O33" s="31">
        <f>N29+N30+N31+N32+N33</f>
        <v>254.59536307143875</v>
      </c>
    </row>
    <row r="34" spans="1:15" ht="15.75" x14ac:dyDescent="0.25">
      <c r="A34" s="30">
        <v>2</v>
      </c>
      <c r="F34" s="41"/>
      <c r="G34" s="1"/>
      <c r="H34" s="31">
        <f t="shared" si="24"/>
        <v>148.36825603244571</v>
      </c>
      <c r="I34" s="32">
        <f t="shared" si="25"/>
        <v>1.65</v>
      </c>
      <c r="J34" s="31">
        <f t="shared" ref="J34" si="32">J7+J7*20/100</f>
        <v>244.8076224535354</v>
      </c>
      <c r="K34" s="31">
        <f>K7+K7*20/100</f>
        <v>244.8076224535354</v>
      </c>
      <c r="L34" s="47">
        <f t="shared" si="29"/>
        <v>232.56705272423721</v>
      </c>
      <c r="N34" s="31">
        <f t="shared" si="27"/>
        <v>116.28352636211861</v>
      </c>
      <c r="O34" s="31">
        <f>N29+N30+N31+N32+N33+N34</f>
        <v>370.87888943355733</v>
      </c>
    </row>
    <row r="35" spans="1:15" ht="15.75" x14ac:dyDescent="0.25">
      <c r="A35" s="21">
        <v>1</v>
      </c>
      <c r="F35" s="41"/>
      <c r="G35" s="1"/>
      <c r="H35" s="22">
        <f t="shared" si="24"/>
        <v>156.91080239999997</v>
      </c>
      <c r="I35" s="23">
        <f t="shared" si="25"/>
        <v>2.3099999999999996</v>
      </c>
      <c r="J35" s="22">
        <f t="shared" ref="J35:K35" si="33">J8+J8*20/100</f>
        <v>362.46395354399988</v>
      </c>
      <c r="K35" s="22">
        <f t="shared" si="33"/>
        <v>155.34169437600002</v>
      </c>
      <c r="L35" s="48">
        <f t="shared" si="29"/>
        <v>200.07465841476773</v>
      </c>
      <c r="N35" s="22">
        <f t="shared" si="27"/>
        <v>100.03732920738386</v>
      </c>
      <c r="O35" s="22">
        <f>N29+N30+N31+N32+N33+N34+N35</f>
        <v>470.91621864094122</v>
      </c>
    </row>
    <row r="36" spans="1:15" ht="15.75" x14ac:dyDescent="0.25">
      <c r="A36" s="21" t="s">
        <v>33</v>
      </c>
      <c r="F36" s="41"/>
    </row>
    <row r="38" spans="1:15" ht="15" customHeight="1" x14ac:dyDescent="0.25">
      <c r="A38" s="438" t="s">
        <v>31</v>
      </c>
      <c r="B38" s="439"/>
      <c r="C38" s="439"/>
      <c r="D38" s="439"/>
      <c r="E38" s="439"/>
      <c r="F38" s="439"/>
      <c r="G38" s="439"/>
      <c r="H38" s="439"/>
      <c r="I38" s="439"/>
      <c r="J38" s="439"/>
      <c r="K38" s="439"/>
      <c r="L38" s="439"/>
      <c r="M38" s="439"/>
      <c r="N38" s="439"/>
      <c r="O38" s="440"/>
    </row>
    <row r="39" spans="1:15" x14ac:dyDescent="0.25">
      <c r="A39" s="441"/>
      <c r="B39" s="442"/>
      <c r="C39" s="442"/>
      <c r="D39" s="442"/>
      <c r="E39" s="442"/>
      <c r="F39" s="442"/>
      <c r="G39" s="442"/>
      <c r="H39" s="442"/>
      <c r="I39" s="442"/>
      <c r="J39" s="442"/>
      <c r="K39" s="442"/>
      <c r="L39" s="442"/>
      <c r="M39" s="442"/>
      <c r="N39" s="442"/>
      <c r="O39" s="443"/>
    </row>
    <row r="40" spans="1:15" x14ac:dyDescent="0.25">
      <c r="A40" s="44"/>
      <c r="B40" s="44"/>
      <c r="C40" s="44"/>
      <c r="D40" s="44"/>
      <c r="E40" s="44"/>
      <c r="F40" s="44"/>
      <c r="G40" s="44"/>
      <c r="H40" s="44"/>
      <c r="I40" s="44"/>
      <c r="J40" s="44"/>
      <c r="K40" s="44"/>
      <c r="L40" s="44"/>
      <c r="M40" s="44"/>
      <c r="N40" s="44"/>
      <c r="O40" s="44"/>
    </row>
    <row r="41" spans="1:15" ht="75" x14ac:dyDescent="0.25">
      <c r="A41" s="43" t="str">
        <f>A28</f>
        <v>Impalcato</v>
      </c>
      <c r="G41" s="40" t="s">
        <v>9</v>
      </c>
      <c r="H41" s="42" t="str">
        <f>H28</f>
        <v>V di pilastro       [kN]</v>
      </c>
      <c r="I41" s="42" t="str">
        <f>I28</f>
        <v>Punto di nullo M pilastri       [m]</v>
      </c>
      <c r="J41" s="45" t="str">
        <f>J28</f>
        <v>Momenti pilastri al piede               [kN m]</v>
      </c>
      <c r="K41" s="45" t="str">
        <f>K28</f>
        <v>Momenti pilastri in testa           [kN m]</v>
      </c>
      <c r="L41" s="42" t="str">
        <f>L28</f>
        <v>Momenti Trave           [kN m]</v>
      </c>
      <c r="M41" s="42" t="str">
        <f t="shared" ref="M41:O42" si="34">M28</f>
        <v>Ltrave, min* emergente con pilastri di coltello in direzione x [m]</v>
      </c>
      <c r="N41" s="42" t="str">
        <f t="shared" si="34"/>
        <v>Vtrave                [kN]</v>
      </c>
      <c r="O41" s="42" t="str">
        <f t="shared" si="34"/>
        <v>ΔNpilastro        [kN]</v>
      </c>
    </row>
    <row r="42" spans="1:15" x14ac:dyDescent="0.25">
      <c r="A42" s="29" t="str">
        <f t="shared" ref="A42:A49" si="35">A29</f>
        <v>Torrino</v>
      </c>
      <c r="G42" s="16">
        <f>IF(G41="CDA",1.5,1.3)</f>
        <v>1.5</v>
      </c>
      <c r="H42" s="46">
        <f t="shared" ref="H42:I42" si="36">H29</f>
        <v>4.4488301243338011</v>
      </c>
      <c r="I42" s="46">
        <f t="shared" si="36"/>
        <v>1.65</v>
      </c>
      <c r="J42" s="28">
        <f t="shared" ref="J42:K47" si="37">J29*$G$42</f>
        <v>11.010854557726159</v>
      </c>
      <c r="K42" s="28">
        <f t="shared" si="37"/>
        <v>11.010854557726159</v>
      </c>
      <c r="L42" s="46">
        <f>K42/2</f>
        <v>5.5054272788630794</v>
      </c>
      <c r="M42" s="42">
        <f t="shared" si="34"/>
        <v>4</v>
      </c>
      <c r="N42" s="28">
        <f>2*L42/$M$29</f>
        <v>2.7527136394315397</v>
      </c>
      <c r="O42" s="28">
        <f>N42</f>
        <v>2.7527136394315397</v>
      </c>
    </row>
    <row r="43" spans="1:15" x14ac:dyDescent="0.25">
      <c r="A43" s="32">
        <f t="shared" si="35"/>
        <v>6</v>
      </c>
      <c r="H43" s="47">
        <f t="shared" ref="H43:I43" si="38">H30</f>
        <v>44.508876511127838</v>
      </c>
      <c r="I43" s="47">
        <f t="shared" si="38"/>
        <v>1.65</v>
      </c>
      <c r="J43" s="31">
        <f t="shared" si="37"/>
        <v>110.15946936504142</v>
      </c>
      <c r="K43" s="31">
        <f t="shared" si="37"/>
        <v>110.15946936504142</v>
      </c>
      <c r="L43" s="47">
        <f>(K43+J42)/2</f>
        <v>60.58516196138379</v>
      </c>
      <c r="N43" s="31">
        <f t="shared" ref="N43:N48" si="39">2*L43/$M$29</f>
        <v>30.292580980691895</v>
      </c>
      <c r="O43" s="31">
        <f>N42+N43</f>
        <v>33.045294620123435</v>
      </c>
    </row>
    <row r="44" spans="1:15" x14ac:dyDescent="0.25">
      <c r="A44" s="32">
        <f t="shared" si="35"/>
        <v>5</v>
      </c>
      <c r="H44" s="47">
        <f t="shared" ref="H44:I44" si="40">H31</f>
        <v>81.601512054455654</v>
      </c>
      <c r="I44" s="47">
        <f t="shared" si="40"/>
        <v>1.65</v>
      </c>
      <c r="J44" s="31">
        <f t="shared" si="37"/>
        <v>201.96374233477769</v>
      </c>
      <c r="K44" s="31">
        <f t="shared" si="37"/>
        <v>201.96374233477769</v>
      </c>
      <c r="L44" s="47">
        <f t="shared" ref="L44:L48" si="41">(K44+J43)/2</f>
        <v>156.06160584990954</v>
      </c>
      <c r="N44" s="31">
        <f t="shared" si="39"/>
        <v>78.03080292495477</v>
      </c>
      <c r="O44" s="31">
        <f>N42+N43+N44</f>
        <v>111.0760975450782</v>
      </c>
    </row>
    <row r="45" spans="1:15" x14ac:dyDescent="0.25">
      <c r="A45" s="32">
        <f t="shared" si="35"/>
        <v>4</v>
      </c>
      <c r="H45" s="47">
        <f t="shared" ref="H45:I45" si="42">H32</f>
        <v>111.2756204891179</v>
      </c>
      <c r="I45" s="47">
        <f t="shared" si="42"/>
        <v>1.65</v>
      </c>
      <c r="J45" s="31">
        <f t="shared" si="37"/>
        <v>275.40716071056681</v>
      </c>
      <c r="K45" s="31">
        <f t="shared" si="37"/>
        <v>275.40716071056681</v>
      </c>
      <c r="L45" s="47">
        <f t="shared" si="41"/>
        <v>238.68545152267225</v>
      </c>
      <c r="N45" s="31">
        <f t="shared" si="39"/>
        <v>119.34272576133613</v>
      </c>
      <c r="O45" s="31">
        <f>N42+N43+N44+N45</f>
        <v>230.41882330641431</v>
      </c>
    </row>
    <row r="46" spans="1:15" x14ac:dyDescent="0.25">
      <c r="A46" s="32">
        <f t="shared" si="35"/>
        <v>3</v>
      </c>
      <c r="H46" s="47">
        <f t="shared" ref="H46:I46" si="43">H33</f>
        <v>133.53120181511457</v>
      </c>
      <c r="I46" s="47">
        <f t="shared" si="43"/>
        <v>1.65</v>
      </c>
      <c r="J46" s="31">
        <f t="shared" si="37"/>
        <v>330.48972449240853</v>
      </c>
      <c r="K46" s="31">
        <f t="shared" si="37"/>
        <v>330.48972449240853</v>
      </c>
      <c r="L46" s="47">
        <f t="shared" si="41"/>
        <v>302.94844260148767</v>
      </c>
      <c r="N46" s="31">
        <f t="shared" si="39"/>
        <v>151.47422130074384</v>
      </c>
      <c r="O46" s="31">
        <f>N42+N43+N44+N45+N46</f>
        <v>381.89304460715812</v>
      </c>
    </row>
    <row r="47" spans="1:15" x14ac:dyDescent="0.25">
      <c r="A47" s="32">
        <f t="shared" si="35"/>
        <v>2</v>
      </c>
      <c r="H47" s="47">
        <f t="shared" ref="H47:I47" si="44">H34</f>
        <v>148.36825603244571</v>
      </c>
      <c r="I47" s="47">
        <f t="shared" si="44"/>
        <v>1.65</v>
      </c>
      <c r="J47" s="31">
        <f t="shared" si="37"/>
        <v>367.21143368030312</v>
      </c>
      <c r="K47" s="31">
        <f>K34*$G$42</f>
        <v>367.21143368030312</v>
      </c>
      <c r="L47" s="47">
        <f t="shared" si="41"/>
        <v>348.85057908635582</v>
      </c>
      <c r="N47" s="31">
        <f t="shared" si="39"/>
        <v>174.42528954317791</v>
      </c>
      <c r="O47" s="31">
        <f>N42+N43+N44+N45+N46+N47</f>
        <v>556.318334150336</v>
      </c>
    </row>
    <row r="48" spans="1:15" x14ac:dyDescent="0.25">
      <c r="A48" s="23">
        <f>A35</f>
        <v>1</v>
      </c>
      <c r="H48" s="48">
        <f t="shared" ref="H48:I48" si="45">H35</f>
        <v>156.91080239999997</v>
      </c>
      <c r="I48" s="48">
        <f t="shared" si="45"/>
        <v>2.3099999999999996</v>
      </c>
      <c r="J48" s="22">
        <f>J35</f>
        <v>362.46395354399988</v>
      </c>
      <c r="K48" s="22">
        <f>K35*$G$42</f>
        <v>233.01254156400003</v>
      </c>
      <c r="L48" s="48">
        <f t="shared" si="41"/>
        <v>300.11198762215156</v>
      </c>
      <c r="N48" s="22">
        <f t="shared" si="39"/>
        <v>150.05599381107578</v>
      </c>
      <c r="O48" s="22">
        <f>N42+N43+N44+N45+N46+N47+N48</f>
        <v>706.37432796141184</v>
      </c>
    </row>
    <row r="49" spans="1:11" x14ac:dyDescent="0.25">
      <c r="A49" s="43" t="str">
        <f t="shared" si="35"/>
        <v>TOT</v>
      </c>
      <c r="J49" s="12"/>
      <c r="K49" s="12"/>
    </row>
  </sheetData>
  <mergeCells count="3">
    <mergeCell ref="A24:O26"/>
    <mergeCell ref="A38:O39"/>
    <mergeCell ref="A11:O12"/>
  </mergeCells>
  <dataValidations count="2">
    <dataValidation type="list" allowBlank="1" showInputMessage="1" showErrorMessage="1" sqref="G41">
      <formula1>q</formula1>
    </dataValidation>
    <dataValidation type="list" allowBlank="1" showInputMessage="1" showErrorMessage="1" sqref="G14">
      <formula1>q</formula1>
    </dataValidation>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4" zoomScale="90" zoomScaleNormal="90" workbookViewId="0">
      <selection activeCell="A15" sqref="A15"/>
    </sheetView>
  </sheetViews>
  <sheetFormatPr defaultRowHeight="15" x14ac:dyDescent="0.25"/>
  <cols>
    <col min="2" max="2" width="10.5703125" customWidth="1"/>
    <col min="3" max="3" width="17.42578125" bestFit="1" customWidth="1"/>
    <col min="4" max="4" width="10.28515625" bestFit="1" customWidth="1"/>
    <col min="10" max="10" width="13.5703125" bestFit="1" customWidth="1"/>
    <col min="12" max="12" width="13.5703125" bestFit="1" customWidth="1"/>
  </cols>
  <sheetData>
    <row r="1" spans="1:16" ht="15.75" x14ac:dyDescent="0.25">
      <c r="A1" s="447" t="s">
        <v>71</v>
      </c>
      <c r="B1" s="447"/>
      <c r="C1" s="447"/>
      <c r="D1" s="447"/>
      <c r="E1" s="447"/>
      <c r="F1" s="447"/>
      <c r="G1" s="447"/>
      <c r="H1" s="447"/>
      <c r="I1" s="447"/>
      <c r="J1" s="447"/>
      <c r="K1" s="447"/>
      <c r="L1" s="447"/>
    </row>
    <row r="2" spans="1:16" ht="45" customHeight="1" x14ac:dyDescent="0.25">
      <c r="B2" s="60"/>
      <c r="C2" s="2" t="s">
        <v>65</v>
      </c>
      <c r="D2" s="2" t="s">
        <v>66</v>
      </c>
      <c r="F2" s="411" t="s">
        <v>72</v>
      </c>
      <c r="G2" s="411"/>
      <c r="H2" s="411"/>
      <c r="I2" s="411"/>
      <c r="J2" s="411"/>
      <c r="K2" s="1" t="s">
        <v>73</v>
      </c>
      <c r="L2" s="1" t="s">
        <v>83</v>
      </c>
    </row>
    <row r="3" spans="1:16" ht="45" x14ac:dyDescent="0.25">
      <c r="B3" s="2" t="s">
        <v>64</v>
      </c>
      <c r="C3" s="2" t="s">
        <v>68</v>
      </c>
      <c r="D3" s="2" t="s">
        <v>67</v>
      </c>
      <c r="E3" s="61" t="s">
        <v>69</v>
      </c>
      <c r="F3" s="61" t="s">
        <v>85</v>
      </c>
      <c r="G3" s="61" t="s">
        <v>86</v>
      </c>
      <c r="H3" s="61" t="s">
        <v>70</v>
      </c>
      <c r="I3" s="61" t="s">
        <v>88</v>
      </c>
      <c r="J3" s="61" t="s">
        <v>89</v>
      </c>
      <c r="K3" s="61" t="s">
        <v>87</v>
      </c>
      <c r="L3" s="61" t="s">
        <v>84</v>
      </c>
    </row>
    <row r="4" spans="1:16" ht="30" x14ac:dyDescent="0.25">
      <c r="A4" s="73" t="s">
        <v>182</v>
      </c>
      <c r="B4" s="1">
        <f>'Analisi dei Carichi Trave Emerg'!D7</f>
        <v>5.65</v>
      </c>
      <c r="C4" s="12">
        <f>'Analisi Carichi Vertic.'!I14*'Dimens. Travi Emergen.'!B4^2/10</f>
        <v>154.0505666282007</v>
      </c>
      <c r="D4" s="12">
        <f>MAX('Caratt. Sollec.'!L15:L21)*0.7</f>
        <v>203.49617113370758</v>
      </c>
      <c r="E4" s="12">
        <f>C4+D4</f>
        <v>357.54673776190828</v>
      </c>
      <c r="F4" s="1">
        <v>30</v>
      </c>
      <c r="G4" s="1">
        <v>4</v>
      </c>
      <c r="H4" s="71">
        <f>_xlfn.CEILING.MATH((J4+G4),10)</f>
        <v>70</v>
      </c>
      <c r="I4" s="1">
        <v>1.7999999999999999E-2</v>
      </c>
      <c r="J4" s="12">
        <f>(I4*SQRT(L4/(F4/100)))*100</f>
        <v>62.141007135615446</v>
      </c>
      <c r="K4" s="1" t="s">
        <v>77</v>
      </c>
      <c r="L4" s="12">
        <f>E4</f>
        <v>357.54673776190828</v>
      </c>
    </row>
    <row r="5" spans="1:16" x14ac:dyDescent="0.25">
      <c r="A5" s="53"/>
      <c r="B5" s="255"/>
      <c r="C5" s="12"/>
      <c r="E5" s="41"/>
      <c r="N5" s="41"/>
    </row>
    <row r="6" spans="1:16" x14ac:dyDescent="0.25">
      <c r="A6" s="57"/>
      <c r="B6" s="255"/>
      <c r="C6" s="12"/>
      <c r="E6" s="41"/>
    </row>
    <row r="7" spans="1:16" x14ac:dyDescent="0.25">
      <c r="A7" s="59"/>
    </row>
    <row r="8" spans="1:16" ht="45" x14ac:dyDescent="0.25">
      <c r="B8" s="60"/>
      <c r="C8" s="2" t="s">
        <v>65</v>
      </c>
      <c r="D8" s="2" t="s">
        <v>66</v>
      </c>
      <c r="F8" s="411" t="s">
        <v>72</v>
      </c>
      <c r="G8" s="411"/>
      <c r="H8" s="411"/>
      <c r="I8" s="411"/>
      <c r="J8" s="411"/>
      <c r="K8" s="120" t="s">
        <v>73</v>
      </c>
      <c r="L8" s="120" t="s">
        <v>83</v>
      </c>
    </row>
    <row r="9" spans="1:16" ht="45" x14ac:dyDescent="0.25">
      <c r="B9" s="2" t="s">
        <v>64</v>
      </c>
      <c r="C9" s="2" t="s">
        <v>68</v>
      </c>
      <c r="D9" s="2" t="s">
        <v>67</v>
      </c>
      <c r="E9" s="61" t="s">
        <v>69</v>
      </c>
      <c r="F9" s="61" t="s">
        <v>85</v>
      </c>
      <c r="G9" s="61" t="s">
        <v>86</v>
      </c>
      <c r="H9" s="61" t="s">
        <v>70</v>
      </c>
      <c r="I9" s="61" t="s">
        <v>88</v>
      </c>
      <c r="J9" s="61" t="s">
        <v>89</v>
      </c>
      <c r="K9" s="61" t="s">
        <v>87</v>
      </c>
      <c r="L9" s="61" t="s">
        <v>84</v>
      </c>
      <c r="P9" s="152"/>
    </row>
    <row r="10" spans="1:16" ht="30" x14ac:dyDescent="0.25">
      <c r="A10" s="73" t="s">
        <v>183</v>
      </c>
      <c r="B10" s="120">
        <v>4.05</v>
      </c>
      <c r="C10" s="12">
        <f>'Analisi Carichi Vertic.'!I16*'Dimens. Travi Emergen.'!B10^2/10</f>
        <v>57.991383000000006</v>
      </c>
      <c r="D10" s="12">
        <f>0.7*MAX('Caratt. Sollec.'!L42:L48)</f>
        <v>244.19540536044906</v>
      </c>
      <c r="E10" s="12">
        <f>C10+D10</f>
        <v>302.18678836044904</v>
      </c>
      <c r="F10" s="120">
        <v>30</v>
      </c>
      <c r="G10" s="120">
        <v>4</v>
      </c>
      <c r="H10" s="71">
        <f>_xlfn.CEILING.MATH((J10+G10),10)</f>
        <v>70</v>
      </c>
      <c r="I10" s="120">
        <v>1.7999999999999999E-2</v>
      </c>
      <c r="J10" s="12">
        <f>(I10*SQRT(L10/(F10/100)))*100</f>
        <v>57.128078160330666</v>
      </c>
      <c r="K10" s="120" t="s">
        <v>77</v>
      </c>
      <c r="L10" s="12">
        <f>E10</f>
        <v>302.18678836044904</v>
      </c>
      <c r="P10" s="190"/>
    </row>
    <row r="11" spans="1:16" ht="30" x14ac:dyDescent="0.25">
      <c r="A11" s="73" t="s">
        <v>184</v>
      </c>
      <c r="B11" s="255">
        <v>5.65</v>
      </c>
      <c r="C11" s="12">
        <f>'Analisi Carichi Vertic.'!I18*'Dimens. Travi Emergen.'!B11^2/10</f>
        <v>96.670906750000029</v>
      </c>
      <c r="D11" s="12">
        <f>MAX('Caratt. Sollec.'!L42:L48)*0.7</f>
        <v>244.19540536044906</v>
      </c>
      <c r="E11" s="12">
        <f>C11+D11</f>
        <v>340.86631211044909</v>
      </c>
      <c r="F11" s="120">
        <v>30</v>
      </c>
      <c r="G11" s="120">
        <v>4</v>
      </c>
      <c r="H11" s="71">
        <f>_xlfn.CEILING.MATH((J11+G11),10)</f>
        <v>70</v>
      </c>
      <c r="I11" s="120">
        <v>1.7999999999999999E-2</v>
      </c>
      <c r="J11" s="12">
        <f>(I11*SQRT(L11/(F11/100)))*100</f>
        <v>60.674180429510947</v>
      </c>
      <c r="K11" s="120" t="s">
        <v>77</v>
      </c>
      <c r="L11" s="12">
        <f>E11</f>
        <v>340.86631211044909</v>
      </c>
    </row>
    <row r="13" spans="1:16" x14ac:dyDescent="0.25">
      <c r="A13" s="438" t="s">
        <v>485</v>
      </c>
      <c r="B13" s="439"/>
      <c r="C13" s="439"/>
      <c r="D13" s="439"/>
      <c r="E13" s="439"/>
      <c r="F13" s="439"/>
      <c r="G13" s="439"/>
      <c r="H13" s="439"/>
      <c r="I13" s="439"/>
      <c r="J13" s="439"/>
      <c r="K13" s="439"/>
      <c r="L13" s="440"/>
    </row>
    <row r="14" spans="1:16" x14ac:dyDescent="0.25">
      <c r="A14" s="444"/>
      <c r="B14" s="445"/>
      <c r="C14" s="445"/>
      <c r="D14" s="445"/>
      <c r="E14" s="445"/>
      <c r="F14" s="445"/>
      <c r="G14" s="445"/>
      <c r="H14" s="445"/>
      <c r="I14" s="445"/>
      <c r="J14" s="445"/>
      <c r="K14" s="445"/>
      <c r="L14" s="446"/>
    </row>
  </sheetData>
  <mergeCells count="4">
    <mergeCell ref="A1:L1"/>
    <mergeCell ref="F2:J2"/>
    <mergeCell ref="F8:J8"/>
    <mergeCell ref="A13:L14"/>
  </mergeCells>
  <dataValidations disablePrompts="1" count="1">
    <dataValidation type="list" allowBlank="1" showInputMessage="1" showErrorMessage="1" sqref="K4 K10:K11">
      <formula1>Classe</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zoomScale="90" zoomScaleNormal="90" workbookViewId="0">
      <selection activeCell="A8" sqref="A8"/>
    </sheetView>
  </sheetViews>
  <sheetFormatPr defaultRowHeight="15" x14ac:dyDescent="0.25"/>
  <cols>
    <col min="2" max="2" width="10" customWidth="1"/>
    <col min="3" max="3" width="17.42578125" bestFit="1" customWidth="1"/>
    <col min="4" max="4" width="19.7109375" customWidth="1"/>
    <col min="9" max="9" width="9" bestFit="1" customWidth="1"/>
    <col min="10" max="11" width="13.5703125" bestFit="1" customWidth="1"/>
  </cols>
  <sheetData>
    <row r="1" spans="1:11" ht="15.75" x14ac:dyDescent="0.25">
      <c r="A1" s="447" t="s">
        <v>71</v>
      </c>
      <c r="B1" s="447"/>
      <c r="C1" s="447"/>
      <c r="D1" s="447"/>
      <c r="E1" s="447"/>
      <c r="F1" s="447"/>
      <c r="G1" s="447"/>
      <c r="H1" s="447"/>
      <c r="I1" s="447"/>
      <c r="J1" s="447"/>
    </row>
    <row r="2" spans="1:11" ht="45" x14ac:dyDescent="0.25">
      <c r="B2" s="60"/>
      <c r="C2" s="2" t="s">
        <v>186</v>
      </c>
      <c r="D2" s="2" t="s">
        <v>65</v>
      </c>
      <c r="E2" s="411" t="s">
        <v>72</v>
      </c>
      <c r="F2" s="411"/>
      <c r="G2" s="411"/>
      <c r="H2" s="411"/>
      <c r="I2" s="411"/>
      <c r="J2" s="62" t="s">
        <v>73</v>
      </c>
      <c r="K2" s="62" t="s">
        <v>83</v>
      </c>
    </row>
    <row r="3" spans="1:11" ht="45" x14ac:dyDescent="0.25">
      <c r="A3" s="52" t="s">
        <v>49</v>
      </c>
      <c r="B3" s="2" t="s">
        <v>64</v>
      </c>
      <c r="C3" s="2" t="s">
        <v>68</v>
      </c>
      <c r="D3" s="2" t="s">
        <v>68</v>
      </c>
      <c r="E3" s="61" t="s">
        <v>396</v>
      </c>
      <c r="F3" s="61" t="s">
        <v>86</v>
      </c>
      <c r="G3" s="61" t="s">
        <v>70</v>
      </c>
      <c r="H3" s="61" t="s">
        <v>88</v>
      </c>
      <c r="I3" s="61" t="s">
        <v>89</v>
      </c>
      <c r="J3" s="61" t="s">
        <v>87</v>
      </c>
      <c r="K3" s="61" t="s">
        <v>84</v>
      </c>
    </row>
    <row r="4" spans="1:11" x14ac:dyDescent="0.25">
      <c r="A4" s="143" t="s">
        <v>181</v>
      </c>
      <c r="B4" s="79">
        <v>3.95</v>
      </c>
      <c r="C4" s="12">
        <f>'Analisi Carichi Vertic.'!H22*$B$4^2/10</f>
        <v>91.397884750000017</v>
      </c>
      <c r="D4" s="12">
        <f>'Analisi Carichi Vertic.'!I22*$B$4^2/10</f>
        <v>54.419959750000018</v>
      </c>
      <c r="E4" s="79">
        <f>_xlfn.CEILING.MATH(H4^2*K4/((I4/100)^2),0.1)</f>
        <v>1</v>
      </c>
      <c r="F4" s="79">
        <v>4</v>
      </c>
      <c r="G4" s="71">
        <f>'Analisi dei Carichi Trave Spess'!$B$3*100</f>
        <v>24.000000000000004</v>
      </c>
      <c r="H4" s="79">
        <v>0.02</v>
      </c>
      <c r="I4" s="12">
        <f>G4-$F$4</f>
        <v>20.000000000000004</v>
      </c>
      <c r="J4" s="79" t="s">
        <v>77</v>
      </c>
      <c r="K4" s="12">
        <f>MAX(C4:D4)</f>
        <v>91.397884750000017</v>
      </c>
    </row>
    <row r="5" spans="1:11" x14ac:dyDescent="0.25">
      <c r="A5" s="136" t="s">
        <v>180</v>
      </c>
      <c r="B5" s="79">
        <v>4.05</v>
      </c>
      <c r="C5" s="12">
        <f>'Analisi Carichi Vertic.'!H24*$B$5^2/10</f>
        <v>94.662108000000018</v>
      </c>
      <c r="D5" s="12">
        <f>'Analisi Carichi Vertic.'!I24*$B$5^2/10</f>
        <v>56.378673000000006</v>
      </c>
      <c r="E5" s="151">
        <f>_xlfn.CEILING.MATH(H5^2*K5/((I5/100)^2),0.1)</f>
        <v>1</v>
      </c>
      <c r="F5" s="128">
        <v>4</v>
      </c>
      <c r="G5" s="71">
        <f>'Analisi dei Carichi Trave Spess'!$B$3*100</f>
        <v>24.000000000000004</v>
      </c>
      <c r="H5" s="128">
        <v>0.02</v>
      </c>
      <c r="I5" s="12">
        <f>G5-$F$4</f>
        <v>20.000000000000004</v>
      </c>
      <c r="J5" s="128" t="s">
        <v>77</v>
      </c>
      <c r="K5" s="12">
        <f>MAX(C5:D5)</f>
        <v>94.662108000000018</v>
      </c>
    </row>
    <row r="7" spans="1:11" ht="15" customHeight="1" x14ac:dyDescent="0.25">
      <c r="A7" s="407" t="s">
        <v>486</v>
      </c>
      <c r="B7" s="408"/>
      <c r="C7" s="408"/>
      <c r="D7" s="408"/>
      <c r="E7" s="408"/>
      <c r="F7" s="408"/>
      <c r="G7" s="408"/>
      <c r="H7" s="408"/>
      <c r="I7" s="408"/>
      <c r="J7" s="408"/>
      <c r="K7" s="409"/>
    </row>
  </sheetData>
  <mergeCells count="3">
    <mergeCell ref="A1:J1"/>
    <mergeCell ref="E2:I2"/>
    <mergeCell ref="A7:K7"/>
  </mergeCells>
  <dataValidations disablePrompts="1" count="1">
    <dataValidation type="list" allowBlank="1" showInputMessage="1" showErrorMessage="1" sqref="J4:J5">
      <formula1>Classe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6"/>
  <sheetViews>
    <sheetView zoomScale="90" zoomScaleNormal="90" workbookViewId="0">
      <selection activeCell="G8" sqref="G8"/>
    </sheetView>
  </sheetViews>
  <sheetFormatPr defaultRowHeight="15" x14ac:dyDescent="0.25"/>
  <cols>
    <col min="1" max="1" width="8.7109375" bestFit="1" customWidth="1"/>
    <col min="2" max="2" width="10.28515625" customWidth="1"/>
    <col min="3" max="3" width="8.5703125" bestFit="1" customWidth="1"/>
    <col min="4" max="5" width="7.5703125" customWidth="1"/>
    <col min="6" max="6" width="7.5703125" bestFit="1" customWidth="1"/>
    <col min="7" max="7" width="10.5703125" customWidth="1"/>
    <col min="8" max="8" width="7.5703125" bestFit="1" customWidth="1"/>
    <col min="9" max="9" width="8.7109375" bestFit="1" customWidth="1"/>
    <col min="10" max="10" width="10.140625" bestFit="1" customWidth="1"/>
    <col min="11" max="13" width="8.28515625" bestFit="1" customWidth="1"/>
    <col min="14" max="14" width="7.5703125" bestFit="1" customWidth="1"/>
    <col min="15" max="15" width="10.140625" bestFit="1" customWidth="1"/>
    <col min="16" max="16" width="8.7109375" bestFit="1" customWidth="1"/>
    <col min="17" max="17" width="8.28515625" bestFit="1" customWidth="1"/>
    <col min="18" max="18" width="7.5703125" bestFit="1" customWidth="1"/>
    <col min="19" max="19" width="5.28515625" bestFit="1" customWidth="1"/>
    <col min="20" max="20" width="7.5703125" bestFit="1" customWidth="1"/>
    <col min="21" max="21" width="4.85546875" bestFit="1" customWidth="1"/>
    <col min="22" max="22" width="7.5703125" bestFit="1" customWidth="1"/>
    <col min="23" max="23" width="5.42578125" bestFit="1" customWidth="1"/>
    <col min="24" max="24" width="4.85546875" bestFit="1" customWidth="1"/>
    <col min="25" max="27" width="7.5703125" bestFit="1" customWidth="1"/>
    <col min="28" max="28" width="7.42578125" bestFit="1" customWidth="1"/>
    <col min="33" max="34" width="11" customWidth="1"/>
  </cols>
  <sheetData>
    <row r="1" spans="1:32" ht="45" x14ac:dyDescent="0.25">
      <c r="A1" s="398" t="s">
        <v>144</v>
      </c>
      <c r="B1" s="400"/>
      <c r="C1" s="398" t="s">
        <v>145</v>
      </c>
      <c r="D1" s="399"/>
      <c r="E1" s="399" t="s">
        <v>146</v>
      </c>
      <c r="F1" s="399"/>
      <c r="G1" s="127" t="s">
        <v>292</v>
      </c>
    </row>
    <row r="2" spans="1:32" ht="47.25" x14ac:dyDescent="0.25">
      <c r="A2" s="125" t="s">
        <v>102</v>
      </c>
      <c r="B2" s="127" t="s">
        <v>165</v>
      </c>
      <c r="C2" s="109" t="s">
        <v>277</v>
      </c>
      <c r="D2" s="126" t="s">
        <v>276</v>
      </c>
      <c r="E2" s="73" t="s">
        <v>256</v>
      </c>
      <c r="F2" s="111" t="s">
        <v>278</v>
      </c>
      <c r="G2" s="112" t="s">
        <v>274</v>
      </c>
    </row>
    <row r="3" spans="1:32" x14ac:dyDescent="0.25">
      <c r="A3" s="129">
        <v>0.3</v>
      </c>
      <c r="B3" s="129">
        <v>0.6</v>
      </c>
      <c r="C3" s="129">
        <v>25</v>
      </c>
      <c r="D3" s="129">
        <f>A3*B3*C3</f>
        <v>4.5</v>
      </c>
      <c r="E3" s="20">
        <f>'Analisi dei Carichi Torrino'!A20</f>
        <v>3.16</v>
      </c>
      <c r="F3" s="20">
        <f>A3*E3</f>
        <v>0.94799999999999995</v>
      </c>
      <c r="G3" s="20">
        <f>D3-F3</f>
        <v>3.552</v>
      </c>
    </row>
    <row r="4" spans="1:32" x14ac:dyDescent="0.25">
      <c r="A4" s="182"/>
      <c r="B4" s="182"/>
      <c r="C4" s="182"/>
      <c r="D4" s="182"/>
      <c r="E4" s="101"/>
      <c r="F4" s="101"/>
      <c r="G4" s="101"/>
      <c r="I4" s="72"/>
      <c r="J4" s="182"/>
      <c r="K4" s="101"/>
      <c r="L4" s="101"/>
      <c r="M4" s="101"/>
      <c r="N4" s="101"/>
      <c r="O4" s="182"/>
      <c r="P4" s="182"/>
      <c r="Q4" s="182"/>
      <c r="R4" s="101"/>
    </row>
    <row r="5" spans="1:32" x14ac:dyDescent="0.25">
      <c r="A5" s="398" t="s">
        <v>151</v>
      </c>
      <c r="B5" s="399"/>
      <c r="C5" s="399"/>
      <c r="D5" s="399"/>
      <c r="E5" s="399"/>
      <c r="F5" s="399"/>
      <c r="G5" s="399"/>
      <c r="H5" s="399"/>
      <c r="I5" s="399"/>
      <c r="J5" s="400"/>
      <c r="K5" s="101"/>
      <c r="L5" s="101"/>
      <c r="M5" s="101"/>
      <c r="N5" s="101"/>
      <c r="O5" s="182"/>
      <c r="P5" s="182"/>
      <c r="Q5" s="182"/>
      <c r="R5" s="101"/>
    </row>
    <row r="6" spans="1:32" ht="62.25" x14ac:dyDescent="0.25">
      <c r="A6" s="220" t="s">
        <v>49</v>
      </c>
      <c r="B6" s="221" t="s">
        <v>152</v>
      </c>
      <c r="C6" s="221" t="s">
        <v>283</v>
      </c>
      <c r="D6" s="221" t="s">
        <v>284</v>
      </c>
      <c r="E6" s="222" t="s">
        <v>285</v>
      </c>
      <c r="F6" s="223" t="s">
        <v>286</v>
      </c>
      <c r="G6" s="224" t="s">
        <v>185</v>
      </c>
      <c r="H6" s="221" t="s">
        <v>287</v>
      </c>
      <c r="I6" s="221" t="s">
        <v>288</v>
      </c>
      <c r="J6" s="186" t="s">
        <v>289</v>
      </c>
      <c r="K6" s="101"/>
      <c r="L6" s="101"/>
      <c r="M6" s="101"/>
      <c r="N6" s="101"/>
      <c r="O6" s="182"/>
      <c r="P6" s="182"/>
      <c r="Q6" s="182"/>
      <c r="R6" s="101"/>
    </row>
    <row r="7" spans="1:32" x14ac:dyDescent="0.25">
      <c r="A7" s="189" t="s">
        <v>233</v>
      </c>
      <c r="B7" s="188">
        <f>'Analisi dei Carichi Torrino'!R3/2</f>
        <v>2.65</v>
      </c>
      <c r="C7" s="20">
        <f>'Analisi dei Carichi Torrino'!$A$20</f>
        <v>3.16</v>
      </c>
      <c r="D7" s="20">
        <f>'Analisi dei Carichi Torrino'!$C$20</f>
        <v>0.97500000000000009</v>
      </c>
      <c r="E7" s="20">
        <f>'Analisi dei Carichi Torrino'!$E$20</f>
        <v>0.5</v>
      </c>
      <c r="F7" s="20">
        <f>$G$3</f>
        <v>3.552</v>
      </c>
      <c r="G7" s="188">
        <f>'Analisi dei Carichi Torrino'!$S$3-A3/2</f>
        <v>0.5</v>
      </c>
      <c r="H7" s="188">
        <f>'Analisi dei Carichi Torrino'!$O$12</f>
        <v>2.44</v>
      </c>
      <c r="I7" s="188">
        <f>'Analisi dei Carichi Torrino'!$T$12</f>
        <v>0.97500000000000009</v>
      </c>
      <c r="J7" s="20">
        <f>'Analisi dei Carichi Torrino'!$P$20</f>
        <v>0.5</v>
      </c>
      <c r="K7" s="101"/>
      <c r="L7" s="101"/>
      <c r="M7" s="101"/>
      <c r="N7" s="101"/>
      <c r="O7" s="182"/>
      <c r="P7" s="182"/>
      <c r="Q7" s="182"/>
      <c r="R7" s="101"/>
    </row>
    <row r="8" spans="1:32" x14ac:dyDescent="0.25">
      <c r="A8" s="121"/>
      <c r="B8" s="121"/>
      <c r="C8" s="121"/>
      <c r="D8" s="121"/>
      <c r="E8" s="12"/>
      <c r="F8" s="128"/>
      <c r="G8" s="128"/>
    </row>
    <row r="9" spans="1:32" x14ac:dyDescent="0.25">
      <c r="A9" s="401" t="s">
        <v>153</v>
      </c>
      <c r="B9" s="402"/>
      <c r="C9" s="402"/>
      <c r="D9" s="402"/>
      <c r="E9" s="402"/>
      <c r="F9" s="402"/>
      <c r="G9" s="402"/>
      <c r="H9" s="402"/>
      <c r="I9" s="402"/>
      <c r="J9" s="402"/>
      <c r="K9" s="402"/>
      <c r="L9" s="402"/>
      <c r="M9" s="402"/>
      <c r="N9" s="402"/>
      <c r="AC9" s="215"/>
      <c r="AD9">
        <f>46.46*5*5/8</f>
        <v>145.1875</v>
      </c>
    </row>
    <row r="10" spans="1:32" ht="15" customHeight="1" x14ac:dyDescent="0.25">
      <c r="A10" s="397" t="s">
        <v>154</v>
      </c>
      <c r="B10" s="397"/>
      <c r="C10" s="397"/>
      <c r="D10" s="397"/>
      <c r="E10" s="397"/>
      <c r="F10" s="397"/>
      <c r="G10" s="397"/>
      <c r="H10" s="397"/>
      <c r="I10" s="397"/>
      <c r="J10" s="397"/>
      <c r="K10" s="397"/>
      <c r="L10" s="397"/>
      <c r="M10" s="397"/>
      <c r="N10" s="397"/>
    </row>
    <row r="11" spans="1:32" ht="33" x14ac:dyDescent="0.25">
      <c r="A11" s="213" t="s">
        <v>234</v>
      </c>
      <c r="B11" s="54" t="s">
        <v>248</v>
      </c>
      <c r="C11" s="55" t="s">
        <v>56</v>
      </c>
      <c r="D11" s="54" t="s">
        <v>249</v>
      </c>
      <c r="E11" s="55" t="s">
        <v>57</v>
      </c>
      <c r="F11" s="54" t="s">
        <v>250</v>
      </c>
      <c r="G11" s="55" t="s">
        <v>58</v>
      </c>
      <c r="H11" s="54" t="s">
        <v>290</v>
      </c>
      <c r="I11" s="55" t="s">
        <v>142</v>
      </c>
      <c r="J11" s="113" t="s">
        <v>137</v>
      </c>
      <c r="K11" s="54" t="s">
        <v>251</v>
      </c>
      <c r="L11" s="54" t="s">
        <v>252</v>
      </c>
      <c r="M11" s="54" t="s">
        <v>253</v>
      </c>
      <c r="N11" s="56" t="s">
        <v>62</v>
      </c>
      <c r="AC11" s="52"/>
      <c r="AE11">
        <v>272.5</v>
      </c>
    </row>
    <row r="12" spans="1:32" x14ac:dyDescent="0.25">
      <c r="A12" s="218" t="s">
        <v>235</v>
      </c>
      <c r="B12" s="86">
        <f>$C$7*$B$7+$F$7+$H$7*$G$7</f>
        <v>13.146000000000001</v>
      </c>
      <c r="C12" s="86">
        <v>1.3</v>
      </c>
      <c r="D12" s="86">
        <f>$D$7*$B$7+$I$7*$G$7</f>
        <v>3.07125</v>
      </c>
      <c r="E12" s="86">
        <v>1.5</v>
      </c>
      <c r="F12" s="86">
        <f>$E$7*B7</f>
        <v>1.325</v>
      </c>
      <c r="G12" s="86">
        <v>1.5</v>
      </c>
      <c r="H12" s="86">
        <f>J7*G7</f>
        <v>0.25</v>
      </c>
      <c r="I12" s="86">
        <v>1.5</v>
      </c>
      <c r="J12" s="86">
        <v>1</v>
      </c>
      <c r="K12" s="86">
        <f>B12*C12</f>
        <v>17.0898</v>
      </c>
      <c r="L12" s="86">
        <f>D12*E12</f>
        <v>4.6068750000000005</v>
      </c>
      <c r="M12" s="86">
        <f>F12*G12+H12*I12*J12</f>
        <v>2.3624999999999998</v>
      </c>
      <c r="N12" s="12">
        <f>K12+L12+M12</f>
        <v>24.059175</v>
      </c>
      <c r="AC12" s="2"/>
      <c r="AE12">
        <v>2725000</v>
      </c>
    </row>
    <row r="13" spans="1:32" ht="15" customHeight="1" x14ac:dyDescent="0.25">
      <c r="O13" s="213"/>
      <c r="AC13" s="12"/>
    </row>
    <row r="14" spans="1:32" x14ac:dyDescent="0.25">
      <c r="A14" s="389" t="s">
        <v>155</v>
      </c>
      <c r="B14" s="390"/>
      <c r="C14" s="390"/>
      <c r="D14" s="390"/>
      <c r="E14" s="390"/>
      <c r="F14" s="390"/>
      <c r="G14" s="390"/>
      <c r="H14" s="390"/>
      <c r="I14" s="390"/>
      <c r="J14" s="390"/>
      <c r="K14" s="390"/>
      <c r="L14" s="215"/>
      <c r="M14" s="215"/>
      <c r="N14" s="215"/>
      <c r="O14" s="95"/>
      <c r="AF14">
        <f>41.23*4.3*4.3/8</f>
        <v>95.29283749999999</v>
      </c>
    </row>
    <row r="15" spans="1:32" x14ac:dyDescent="0.25">
      <c r="A15" s="397" t="s">
        <v>154</v>
      </c>
      <c r="B15" s="397"/>
      <c r="C15" s="397"/>
      <c r="D15" s="397"/>
      <c r="E15" s="397"/>
      <c r="F15" s="397"/>
      <c r="G15" s="397"/>
      <c r="H15" s="397"/>
      <c r="I15" s="397"/>
      <c r="J15" s="397"/>
      <c r="K15" s="397"/>
      <c r="L15" s="191"/>
      <c r="M15" s="191"/>
      <c r="N15" s="191"/>
      <c r="O15" s="2"/>
    </row>
    <row r="16" spans="1:32" ht="33" x14ac:dyDescent="0.25">
      <c r="A16" s="183" t="s">
        <v>234</v>
      </c>
      <c r="B16" s="54" t="s">
        <v>248</v>
      </c>
      <c r="C16" s="54" t="s">
        <v>249</v>
      </c>
      <c r="D16" s="54" t="s">
        <v>250</v>
      </c>
      <c r="E16" s="219" t="s">
        <v>63</v>
      </c>
      <c r="F16" s="54" t="s">
        <v>290</v>
      </c>
      <c r="G16" s="113" t="s">
        <v>139</v>
      </c>
      <c r="H16" s="54" t="s">
        <v>251</v>
      </c>
      <c r="I16" s="54" t="s">
        <v>252</v>
      </c>
      <c r="J16" s="54" t="s">
        <v>253</v>
      </c>
      <c r="K16" s="56" t="s">
        <v>62</v>
      </c>
      <c r="O16" s="12"/>
    </row>
    <row r="17" spans="1:29" x14ac:dyDescent="0.25">
      <c r="A17" s="137" t="s">
        <v>235</v>
      </c>
      <c r="B17" s="86">
        <f>$C$7*$B$7+$F$7+$H$7*$G$7</f>
        <v>13.146000000000001</v>
      </c>
      <c r="C17" s="86">
        <f>$D$7*$B$7+$I$7*$G$7</f>
        <v>3.07125</v>
      </c>
      <c r="D17" s="86">
        <f>$E$7*B7</f>
        <v>1.325</v>
      </c>
      <c r="E17" s="86">
        <v>0.3</v>
      </c>
      <c r="F17" s="86">
        <f>J7*G7</f>
        <v>0.25</v>
      </c>
      <c r="G17" s="86">
        <v>0.3</v>
      </c>
      <c r="H17" s="86">
        <f>B17</f>
        <v>13.146000000000001</v>
      </c>
      <c r="I17" s="86">
        <f>C17</f>
        <v>3.07125</v>
      </c>
      <c r="J17" s="86">
        <f>D17*E17+F17*G17</f>
        <v>0.47249999999999998</v>
      </c>
      <c r="K17" s="12">
        <f>H17+I17+J17</f>
        <v>16.68975</v>
      </c>
    </row>
    <row r="22" spans="1:29" x14ac:dyDescent="0.25">
      <c r="P22" s="213"/>
      <c r="Q22" s="86"/>
      <c r="R22" s="86"/>
      <c r="S22" s="86"/>
      <c r="T22" s="86"/>
      <c r="U22" s="86"/>
      <c r="V22" s="86"/>
      <c r="W22" s="86"/>
      <c r="X22" s="86"/>
      <c r="Y22" s="86"/>
      <c r="Z22" s="86"/>
      <c r="AA22" s="86"/>
      <c r="AB22" s="86"/>
      <c r="AC22" s="12"/>
    </row>
    <row r="23" spans="1:29" ht="18.75" x14ac:dyDescent="0.25">
      <c r="P23" s="213"/>
      <c r="Q23" s="73"/>
      <c r="R23" s="55"/>
      <c r="S23" s="73"/>
      <c r="T23" s="55"/>
      <c r="U23" s="54"/>
      <c r="V23" s="58"/>
      <c r="W23" s="54"/>
      <c r="X23" s="55"/>
      <c r="Y23" s="58"/>
      <c r="Z23" s="54"/>
      <c r="AA23" s="54"/>
      <c r="AB23" s="54"/>
      <c r="AC23" s="56"/>
    </row>
    <row r="24" spans="1:29" x14ac:dyDescent="0.25">
      <c r="P24" s="216"/>
      <c r="Q24" s="86"/>
      <c r="R24" s="86"/>
      <c r="S24" s="86"/>
      <c r="T24" s="86"/>
      <c r="U24" s="86"/>
      <c r="V24" s="86"/>
      <c r="W24" s="86"/>
      <c r="X24" s="86"/>
      <c r="Y24" s="86"/>
      <c r="Z24" s="86"/>
      <c r="AA24" s="86"/>
      <c r="AB24" s="86"/>
      <c r="AC24" s="12"/>
    </row>
    <row r="25" spans="1:29" x14ac:dyDescent="0.25">
      <c r="A25" s="128"/>
      <c r="B25" s="128"/>
      <c r="C25" s="12"/>
      <c r="D25" s="128"/>
      <c r="E25" s="12"/>
      <c r="F25" s="12"/>
    </row>
    <row r="27" spans="1:29" ht="15" customHeight="1" x14ac:dyDescent="0.25"/>
    <row r="31" spans="1:29" ht="18.75" x14ac:dyDescent="0.25">
      <c r="A31" s="59"/>
      <c r="B31" s="73"/>
      <c r="C31" s="85"/>
      <c r="D31" s="73"/>
      <c r="E31" s="85"/>
      <c r="F31" s="73"/>
      <c r="G31" s="85"/>
      <c r="H31" s="73"/>
      <c r="I31" s="85"/>
      <c r="J31" s="58"/>
      <c r="K31" s="73"/>
      <c r="L31" s="73"/>
      <c r="M31" s="73"/>
      <c r="N31" s="56"/>
    </row>
    <row r="32" spans="1:29" x14ac:dyDescent="0.25">
      <c r="A32" s="59"/>
      <c r="B32" s="86"/>
      <c r="C32" s="86"/>
      <c r="D32" s="86"/>
      <c r="E32" s="86"/>
      <c r="F32" s="86"/>
      <c r="G32" s="86"/>
      <c r="H32" s="86"/>
      <c r="I32" s="86"/>
      <c r="J32" s="86"/>
      <c r="K32" s="86"/>
      <c r="L32" s="86"/>
      <c r="M32" s="86"/>
      <c r="N32" s="12"/>
    </row>
    <row r="33" spans="1:16" ht="18.75" x14ac:dyDescent="0.25">
      <c r="A33" s="59"/>
      <c r="B33" s="73"/>
      <c r="C33" s="85"/>
      <c r="D33" s="73"/>
      <c r="E33" s="85"/>
      <c r="F33" s="73"/>
      <c r="G33" s="85"/>
      <c r="H33" s="73"/>
      <c r="I33" s="85"/>
      <c r="J33" s="58"/>
      <c r="K33" s="73"/>
      <c r="L33" s="73"/>
      <c r="M33" s="73"/>
      <c r="N33" s="56"/>
    </row>
    <row r="34" spans="1:16" x14ac:dyDescent="0.25">
      <c r="A34" s="59"/>
      <c r="B34" s="86"/>
      <c r="C34" s="86"/>
      <c r="D34" s="86"/>
      <c r="E34" s="86"/>
      <c r="F34" s="86"/>
      <c r="G34" s="86"/>
      <c r="H34" s="86"/>
      <c r="I34" s="86"/>
      <c r="J34" s="86"/>
      <c r="K34" s="86"/>
      <c r="L34" s="86"/>
      <c r="M34" s="86"/>
      <c r="N34" s="12"/>
    </row>
    <row r="35" spans="1:16" ht="18.75" x14ac:dyDescent="0.25">
      <c r="A35" s="213"/>
      <c r="B35" s="73"/>
      <c r="C35" s="85"/>
      <c r="D35" s="73"/>
      <c r="E35" s="85"/>
      <c r="F35" s="73"/>
      <c r="G35" s="85"/>
      <c r="H35" s="73"/>
      <c r="I35" s="85"/>
      <c r="J35" s="58"/>
      <c r="K35" s="73"/>
      <c r="L35" s="73"/>
      <c r="M35" s="73"/>
      <c r="N35" s="56"/>
    </row>
    <row r="36" spans="1:16" x14ac:dyDescent="0.25">
      <c r="A36" s="213"/>
      <c r="B36" s="86"/>
      <c r="C36" s="86"/>
      <c r="D36" s="86"/>
      <c r="E36" s="86"/>
      <c r="F36" s="86"/>
      <c r="G36" s="86"/>
      <c r="H36" s="86"/>
      <c r="I36" s="86"/>
      <c r="J36" s="86"/>
      <c r="K36" s="86"/>
      <c r="L36" s="86"/>
      <c r="M36" s="86"/>
      <c r="N36" s="12"/>
    </row>
    <row r="37" spans="1:16" ht="18.75" x14ac:dyDescent="0.25">
      <c r="A37" s="213"/>
      <c r="B37" s="73"/>
      <c r="C37" s="85"/>
      <c r="D37" s="73"/>
      <c r="E37" s="85"/>
      <c r="F37" s="73"/>
      <c r="G37" s="85"/>
      <c r="H37" s="73"/>
      <c r="I37" s="85"/>
      <c r="J37" s="58"/>
      <c r="K37" s="73"/>
      <c r="L37" s="73"/>
      <c r="M37" s="73"/>
      <c r="N37" s="56"/>
    </row>
    <row r="38" spans="1:16" x14ac:dyDescent="0.25">
      <c r="A38" s="216"/>
      <c r="B38" s="86"/>
      <c r="C38" s="86"/>
      <c r="D38" s="86"/>
      <c r="E38" s="86"/>
      <c r="F38" s="86"/>
      <c r="G38" s="86"/>
      <c r="H38" s="86"/>
      <c r="I38" s="86"/>
      <c r="J38" s="86"/>
      <c r="K38" s="86"/>
      <c r="L38" s="86"/>
      <c r="M38" s="86"/>
      <c r="N38" s="12"/>
    </row>
    <row r="39" spans="1:16" x14ac:dyDescent="0.25">
      <c r="A39" s="216"/>
      <c r="B39" s="86"/>
      <c r="C39" s="86"/>
      <c r="D39" s="86"/>
      <c r="E39" s="86"/>
      <c r="F39" s="86"/>
      <c r="G39" s="86"/>
      <c r="H39" s="86"/>
      <c r="I39" s="86"/>
      <c r="J39" s="86"/>
      <c r="K39" s="86"/>
      <c r="L39" s="86"/>
      <c r="M39" s="86"/>
      <c r="N39" s="12"/>
    </row>
    <row r="40" spans="1:16" ht="15" customHeight="1" x14ac:dyDescent="0.25">
      <c r="A40" s="216"/>
      <c r="B40" s="86"/>
      <c r="C40" s="86"/>
      <c r="D40" s="86"/>
      <c r="E40" s="86"/>
      <c r="F40" s="86"/>
      <c r="G40" s="86"/>
      <c r="H40" s="86"/>
      <c r="I40" s="86"/>
      <c r="J40" s="86"/>
      <c r="K40" s="86"/>
      <c r="L40" s="86"/>
      <c r="M40" s="86"/>
      <c r="N40" s="12"/>
    </row>
    <row r="41" spans="1:16" x14ac:dyDescent="0.25">
      <c r="A41" s="2"/>
      <c r="B41" s="96"/>
      <c r="C41" s="96"/>
      <c r="D41" s="96"/>
      <c r="E41" s="96"/>
      <c r="F41" s="96"/>
      <c r="G41" s="96"/>
      <c r="H41" s="96"/>
      <c r="I41" s="96"/>
      <c r="J41" s="96"/>
      <c r="K41" s="96"/>
      <c r="L41" s="96"/>
      <c r="M41" s="96"/>
      <c r="N41" s="94"/>
      <c r="O41" s="52"/>
      <c r="P41" s="52"/>
    </row>
    <row r="42" spans="1:16" ht="18.75" x14ac:dyDescent="0.25">
      <c r="A42" s="213"/>
      <c r="B42" s="54"/>
      <c r="C42" s="55"/>
      <c r="D42" s="54"/>
      <c r="E42" s="55"/>
      <c r="F42" s="54"/>
      <c r="G42" s="55"/>
      <c r="H42" s="54"/>
      <c r="I42" s="55"/>
      <c r="J42" s="113"/>
      <c r="K42" s="54"/>
      <c r="L42" s="54"/>
      <c r="M42" s="54"/>
      <c r="N42" s="56"/>
      <c r="O42" s="2"/>
      <c r="P42" s="2"/>
    </row>
    <row r="43" spans="1:16" x14ac:dyDescent="0.25">
      <c r="A43" s="213"/>
      <c r="B43" s="86"/>
      <c r="C43" s="86"/>
      <c r="D43" s="86"/>
      <c r="E43" s="86"/>
      <c r="F43" s="86"/>
      <c r="G43" s="86"/>
      <c r="H43" s="86"/>
      <c r="I43" s="86"/>
      <c r="J43" s="86"/>
      <c r="K43" s="86"/>
      <c r="L43" s="86"/>
      <c r="M43" s="86"/>
      <c r="N43" s="12"/>
      <c r="O43" s="12"/>
      <c r="P43" s="12"/>
    </row>
    <row r="44" spans="1:16" ht="18.75" x14ac:dyDescent="0.25">
      <c r="A44" s="59"/>
      <c r="B44" s="73"/>
      <c r="C44" s="85"/>
      <c r="D44" s="73"/>
      <c r="E44" s="85"/>
      <c r="F44" s="73"/>
      <c r="G44" s="85"/>
      <c r="H44" s="73"/>
      <c r="I44" s="85"/>
      <c r="J44" s="58"/>
      <c r="K44" s="73"/>
      <c r="L44" s="73"/>
      <c r="M44" s="73"/>
      <c r="N44" s="56"/>
    </row>
    <row r="45" spans="1:16" x14ac:dyDescent="0.25">
      <c r="A45" s="59"/>
      <c r="B45" s="86"/>
      <c r="C45" s="86"/>
      <c r="D45" s="86"/>
      <c r="E45" s="86"/>
      <c r="F45" s="86"/>
      <c r="G45" s="86"/>
      <c r="H45" s="86"/>
      <c r="I45" s="86"/>
      <c r="J45" s="86"/>
      <c r="K45" s="86"/>
      <c r="L45" s="86"/>
      <c r="M45" s="86"/>
      <c r="N45" s="12"/>
    </row>
    <row r="46" spans="1:16" ht="18.75" x14ac:dyDescent="0.25">
      <c r="A46" s="59"/>
      <c r="B46" s="73"/>
      <c r="C46" s="85"/>
      <c r="D46" s="73"/>
      <c r="E46" s="85"/>
      <c r="F46" s="73"/>
      <c r="G46" s="85"/>
      <c r="H46" s="73"/>
      <c r="I46" s="85"/>
      <c r="J46" s="58"/>
      <c r="K46" s="73"/>
      <c r="L46" s="73"/>
      <c r="M46" s="73"/>
      <c r="N46" s="56"/>
    </row>
    <row r="47" spans="1:16" x14ac:dyDescent="0.25">
      <c r="A47" s="59"/>
      <c r="B47" s="86"/>
      <c r="C47" s="86"/>
      <c r="D47" s="86"/>
      <c r="E47" s="86"/>
      <c r="F47" s="86"/>
      <c r="G47" s="86"/>
      <c r="H47" s="86"/>
      <c r="I47" s="86"/>
      <c r="J47" s="86"/>
      <c r="K47" s="86"/>
      <c r="L47" s="86"/>
      <c r="M47" s="86"/>
      <c r="N47" s="12"/>
    </row>
    <row r="48" spans="1:16" ht="18.75" x14ac:dyDescent="0.25">
      <c r="A48" s="213"/>
      <c r="B48" s="73"/>
      <c r="C48" s="85"/>
      <c r="D48" s="73"/>
      <c r="E48" s="85"/>
      <c r="F48" s="73"/>
      <c r="G48" s="85"/>
      <c r="H48" s="73"/>
      <c r="I48" s="85"/>
      <c r="J48" s="58"/>
      <c r="K48" s="73"/>
      <c r="L48" s="73"/>
      <c r="M48" s="73"/>
      <c r="N48" s="56"/>
    </row>
    <row r="49" spans="1:18" x14ac:dyDescent="0.25">
      <c r="A49" s="213"/>
      <c r="B49" s="86"/>
      <c r="C49" s="86"/>
      <c r="D49" s="86"/>
      <c r="E49" s="86"/>
      <c r="F49" s="86"/>
      <c r="G49" s="86"/>
      <c r="H49" s="86"/>
      <c r="I49" s="86"/>
      <c r="J49" s="86"/>
      <c r="K49" s="86"/>
      <c r="L49" s="86"/>
      <c r="M49" s="86"/>
      <c r="N49" s="12"/>
    </row>
    <row r="50" spans="1:18" ht="18.75" x14ac:dyDescent="0.25">
      <c r="A50" s="213"/>
      <c r="B50" s="73"/>
      <c r="C50" s="85"/>
      <c r="D50" s="73"/>
      <c r="E50" s="85"/>
      <c r="F50" s="73"/>
      <c r="G50" s="85"/>
      <c r="H50" s="73"/>
      <c r="I50" s="85"/>
      <c r="J50" s="58"/>
      <c r="K50" s="73"/>
      <c r="L50" s="73"/>
      <c r="M50" s="73"/>
      <c r="N50" s="56"/>
    </row>
    <row r="51" spans="1:18" x14ac:dyDescent="0.25">
      <c r="A51" s="216"/>
      <c r="B51" s="86"/>
      <c r="C51" s="86"/>
      <c r="D51" s="86"/>
      <c r="E51" s="86"/>
      <c r="F51" s="86"/>
      <c r="G51" s="86"/>
      <c r="H51" s="86"/>
      <c r="I51" s="86"/>
      <c r="J51" s="86"/>
      <c r="K51" s="86"/>
      <c r="L51" s="86"/>
      <c r="M51" s="86"/>
      <c r="N51" s="12"/>
    </row>
    <row r="52" spans="1:18" x14ac:dyDescent="0.25">
      <c r="A52" s="214"/>
      <c r="B52" s="215"/>
      <c r="C52" s="215"/>
      <c r="D52" s="215"/>
      <c r="E52" s="215"/>
      <c r="F52" s="215"/>
      <c r="G52" s="215"/>
      <c r="H52" s="215"/>
      <c r="I52" s="215"/>
      <c r="J52" s="215"/>
      <c r="K52" s="215"/>
      <c r="L52" s="215"/>
      <c r="M52" s="215"/>
      <c r="N52" s="215"/>
      <c r="O52" s="215"/>
      <c r="P52" s="215"/>
    </row>
    <row r="53" spans="1:18" ht="18.75" x14ac:dyDescent="0.25">
      <c r="A53" s="212"/>
      <c r="B53" s="54"/>
      <c r="C53" s="55"/>
      <c r="D53" s="54"/>
      <c r="E53" s="55"/>
      <c r="F53" s="113"/>
      <c r="G53" s="54"/>
      <c r="H53" s="55"/>
      <c r="I53" s="113"/>
      <c r="J53" s="54"/>
      <c r="K53" s="54"/>
      <c r="L53" s="187"/>
      <c r="M53" s="187"/>
      <c r="N53" s="187"/>
      <c r="O53" s="187"/>
      <c r="P53" s="12"/>
    </row>
    <row r="54" spans="1:18" ht="18.75" x14ac:dyDescent="0.25">
      <c r="A54" s="55"/>
      <c r="B54" s="113"/>
      <c r="P54" s="52"/>
      <c r="Q54" s="52"/>
    </row>
    <row r="55" spans="1:18" ht="18.75" x14ac:dyDescent="0.25">
      <c r="A55" s="213"/>
      <c r="B55" s="54"/>
      <c r="C55" s="55"/>
      <c r="D55" s="54"/>
      <c r="E55" s="55"/>
      <c r="F55" s="54"/>
      <c r="G55" s="55"/>
      <c r="H55" s="113"/>
      <c r="I55" s="54"/>
      <c r="J55" s="55"/>
      <c r="K55" s="113"/>
      <c r="L55" s="54"/>
      <c r="M55" s="54"/>
      <c r="N55" s="54"/>
      <c r="O55" s="56"/>
      <c r="P55" s="2"/>
      <c r="Q55" s="2"/>
    </row>
    <row r="56" spans="1:18" x14ac:dyDescent="0.25">
      <c r="A56" s="213"/>
      <c r="B56" s="86"/>
      <c r="C56" s="86"/>
      <c r="D56" s="86"/>
      <c r="E56" s="128"/>
      <c r="F56" s="12"/>
      <c r="G56" s="128"/>
      <c r="H56" s="128"/>
      <c r="I56" s="128"/>
      <c r="J56" s="128"/>
      <c r="K56" s="128"/>
      <c r="L56" s="12"/>
      <c r="M56" s="12"/>
      <c r="N56" s="12"/>
      <c r="O56" s="12"/>
      <c r="P56" s="12"/>
      <c r="Q56" s="12"/>
    </row>
    <row r="57" spans="1:18" ht="18.75" x14ac:dyDescent="0.25">
      <c r="A57" s="59"/>
      <c r="B57" s="73"/>
      <c r="C57" s="85"/>
      <c r="D57" s="73"/>
      <c r="E57" s="85"/>
      <c r="F57" s="54"/>
      <c r="G57" s="55"/>
      <c r="H57" s="113"/>
      <c r="I57" s="54"/>
      <c r="J57" s="55"/>
      <c r="K57" s="113"/>
      <c r="L57" s="73"/>
      <c r="M57" s="73"/>
      <c r="N57" s="73"/>
      <c r="O57" s="56"/>
      <c r="R57" s="73"/>
    </row>
    <row r="58" spans="1:18" x14ac:dyDescent="0.25">
      <c r="A58" s="59"/>
      <c r="B58" s="86"/>
      <c r="C58" s="86"/>
      <c r="D58" s="86"/>
      <c r="E58" s="128"/>
      <c r="F58" s="12"/>
      <c r="G58" s="128"/>
      <c r="H58" s="128"/>
      <c r="I58" s="128"/>
      <c r="J58" s="128"/>
      <c r="K58" s="128"/>
      <c r="L58" s="12"/>
      <c r="M58" s="12"/>
      <c r="N58" s="12"/>
      <c r="O58" s="12"/>
    </row>
    <row r="59" spans="1:18" ht="18.75" x14ac:dyDescent="0.25">
      <c r="A59" s="59"/>
      <c r="B59" s="73"/>
      <c r="C59" s="85"/>
      <c r="D59" s="73"/>
      <c r="E59" s="85"/>
      <c r="F59" s="54"/>
      <c r="G59" s="55"/>
      <c r="H59" s="113"/>
      <c r="I59" s="54"/>
      <c r="J59" s="55"/>
      <c r="K59" s="113"/>
      <c r="L59" s="73"/>
      <c r="M59" s="73"/>
      <c r="N59" s="73"/>
      <c r="O59" s="56"/>
      <c r="R59" s="73"/>
    </row>
    <row r="60" spans="1:18" x14ac:dyDescent="0.25">
      <c r="A60" s="59"/>
      <c r="B60" s="86"/>
      <c r="C60" s="86"/>
      <c r="D60" s="86"/>
      <c r="E60" s="128"/>
      <c r="F60" s="12"/>
      <c r="G60" s="128"/>
      <c r="H60" s="128"/>
      <c r="I60" s="128"/>
      <c r="J60" s="128"/>
      <c r="K60" s="128"/>
      <c r="L60" s="12"/>
      <c r="M60" s="12"/>
      <c r="N60" s="12"/>
      <c r="O60" s="12"/>
    </row>
    <row r="61" spans="1:18" ht="18.75" x14ac:dyDescent="0.25">
      <c r="A61" s="213"/>
      <c r="B61" s="73"/>
      <c r="C61" s="85"/>
      <c r="D61" s="73"/>
      <c r="E61" s="85"/>
      <c r="F61" s="54"/>
      <c r="G61" s="55"/>
      <c r="H61" s="113"/>
      <c r="I61" s="54"/>
      <c r="J61" s="55"/>
      <c r="K61" s="113"/>
      <c r="L61" s="73"/>
      <c r="M61" s="73"/>
      <c r="N61" s="73"/>
      <c r="O61" s="56"/>
      <c r="R61" s="73"/>
    </row>
    <row r="62" spans="1:18" x14ac:dyDescent="0.25">
      <c r="A62" s="213"/>
      <c r="B62" s="86"/>
      <c r="C62" s="86"/>
      <c r="D62" s="86"/>
      <c r="E62" s="128"/>
      <c r="F62" s="12"/>
      <c r="G62" s="128"/>
      <c r="H62" s="128"/>
      <c r="I62" s="128"/>
      <c r="J62" s="128"/>
      <c r="K62" s="128"/>
      <c r="L62" s="12"/>
      <c r="M62" s="12"/>
      <c r="N62" s="12"/>
      <c r="O62" s="12"/>
    </row>
    <row r="63" spans="1:18" ht="18.75" x14ac:dyDescent="0.25">
      <c r="A63" s="213"/>
      <c r="B63" s="73"/>
      <c r="C63" s="85"/>
      <c r="D63" s="73"/>
      <c r="E63" s="85"/>
      <c r="F63" s="54"/>
      <c r="G63" s="55"/>
      <c r="H63" s="113"/>
      <c r="I63" s="54"/>
      <c r="J63" s="55"/>
      <c r="K63" s="113"/>
      <c r="L63" s="73"/>
      <c r="M63" s="73"/>
      <c r="N63" s="73"/>
      <c r="O63" s="56"/>
      <c r="R63" s="73"/>
    </row>
    <row r="80" ht="15" customHeight="1" x14ac:dyDescent="0.25"/>
    <row r="93" spans="17:17" ht="15" customHeight="1" x14ac:dyDescent="0.25"/>
    <row r="94" spans="17:17" x14ac:dyDescent="0.25">
      <c r="Q94" s="52"/>
    </row>
    <row r="95" spans="17:17" x14ac:dyDescent="0.25">
      <c r="Q95" s="2"/>
    </row>
    <row r="96" spans="17:17" x14ac:dyDescent="0.25">
      <c r="Q96" s="12"/>
    </row>
  </sheetData>
  <mergeCells count="8">
    <mergeCell ref="A15:K15"/>
    <mergeCell ref="A14:K14"/>
    <mergeCell ref="A10:N10"/>
    <mergeCell ref="A5:J5"/>
    <mergeCell ref="A1:B1"/>
    <mergeCell ref="C1:D1"/>
    <mergeCell ref="E1:F1"/>
    <mergeCell ref="A9:N9"/>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zoomScale="90" zoomScaleNormal="90" workbookViewId="0">
      <selection activeCell="B21" sqref="B21"/>
    </sheetView>
  </sheetViews>
  <sheetFormatPr defaultRowHeight="15" x14ac:dyDescent="0.25"/>
  <cols>
    <col min="5" max="6" width="10.140625" customWidth="1"/>
    <col min="7" max="7" width="9.7109375" bestFit="1" customWidth="1"/>
    <col min="12" max="12" width="10.140625" bestFit="1" customWidth="1"/>
  </cols>
  <sheetData>
    <row r="1" spans="1:22" ht="15.75" x14ac:dyDescent="0.25">
      <c r="A1" s="449" t="s">
        <v>316</v>
      </c>
      <c r="B1" s="450"/>
      <c r="C1" s="450"/>
      <c r="D1" s="450"/>
      <c r="E1" s="450"/>
      <c r="F1" s="450"/>
      <c r="G1" s="450"/>
      <c r="H1" s="450"/>
      <c r="I1" s="450"/>
      <c r="J1" s="450"/>
      <c r="K1" s="450"/>
      <c r="L1" s="450"/>
      <c r="M1" s="450"/>
      <c r="N1" s="450"/>
      <c r="O1" s="450"/>
      <c r="P1" s="450"/>
      <c r="Q1" s="450"/>
      <c r="R1" s="450"/>
      <c r="S1" s="450"/>
      <c r="T1" s="450"/>
      <c r="U1" s="191"/>
      <c r="V1" s="191"/>
    </row>
    <row r="2" spans="1:22" ht="78.75" x14ac:dyDescent="0.25">
      <c r="A2" s="4" t="str">
        <f>'Caratt. Sollec.'!A41</f>
        <v>Impalcato</v>
      </c>
      <c r="B2" s="5" t="str">
        <f>'Caratt. Sollec.'!J41</f>
        <v>Momenti pilastri al piede               [kN m]</v>
      </c>
      <c r="C2" s="5" t="str">
        <f>'Caratt. Sollec.'!K41</f>
        <v>Momenti pilastri in testa           [kN m]</v>
      </c>
      <c r="D2" s="5" t="s">
        <v>313</v>
      </c>
      <c r="E2" s="38" t="s">
        <v>29</v>
      </c>
      <c r="G2" s="5" t="str">
        <f>B2</f>
        <v>Momenti pilastri al piede               [kN m]</v>
      </c>
      <c r="H2" s="5" t="str">
        <f>C2</f>
        <v>Momenti pilastri in testa           [kN m]</v>
      </c>
      <c r="I2" s="5" t="s">
        <v>314</v>
      </c>
      <c r="J2" s="38" t="s">
        <v>312</v>
      </c>
      <c r="L2" s="5" t="str">
        <f>G2</f>
        <v>Momenti pilastri al piede               [kN m]</v>
      </c>
      <c r="M2" s="5" t="str">
        <f>H2</f>
        <v>Momenti pilastri in testa           [kN m]</v>
      </c>
      <c r="N2" s="5" t="s">
        <v>319</v>
      </c>
      <c r="O2" s="38" t="s">
        <v>312</v>
      </c>
      <c r="Q2" s="5" t="str">
        <f>L2</f>
        <v>Momenti pilastri al piede               [kN m]</v>
      </c>
      <c r="R2" s="5" t="str">
        <f>M2</f>
        <v>Momenti pilastri in testa           [kN m]</v>
      </c>
      <c r="S2" s="5" t="s">
        <v>315</v>
      </c>
      <c r="T2" s="38" t="s">
        <v>312</v>
      </c>
    </row>
    <row r="3" spans="1:22" ht="15.75" x14ac:dyDescent="0.25">
      <c r="A3" s="27" t="str">
        <f>'Caratt. Sollec.'!A42</f>
        <v>Torrino</v>
      </c>
      <c r="B3" s="35">
        <f>'Caratt. Sollec.'!J15</f>
        <v>9.1757121314384644</v>
      </c>
      <c r="C3" s="35">
        <f>'Caratt. Sollec.'!K15</f>
        <v>9.1757121314384644</v>
      </c>
      <c r="D3" s="35">
        <f>'Analisi dei Carichi Vert'!I16</f>
        <v>68.711343749999997</v>
      </c>
      <c r="E3" s="28">
        <f>'Caratt. Sollec.'!O15</f>
        <v>2.2939280328596161</v>
      </c>
      <c r="G3" s="35">
        <f>'Caratt. Sollec.'!J42</f>
        <v>11.010854557726159</v>
      </c>
      <c r="H3" s="35">
        <f>'Caratt. Sollec.'!K42</f>
        <v>11.010854557726159</v>
      </c>
      <c r="I3" s="35">
        <v>0</v>
      </c>
      <c r="J3" s="28">
        <f>'Caratt. Sollec.'!O42</f>
        <v>2.7527136394315397</v>
      </c>
      <c r="L3" s="35">
        <f>'Caratt. Sollec.'!J42</f>
        <v>11.010854557726159</v>
      </c>
      <c r="M3" s="28">
        <f>'Caratt. Sollec.'!K42</f>
        <v>11.010854557726159</v>
      </c>
      <c r="N3" s="35">
        <v>0</v>
      </c>
      <c r="O3" s="28">
        <f>0.1*'Caratt. Sollec.'!O42</f>
        <v>0.27527136394315399</v>
      </c>
      <c r="Q3" s="35">
        <f>'Caratt. Sollec.'!J42</f>
        <v>11.010854557726159</v>
      </c>
      <c r="R3" s="28">
        <f>'Caratt. Sollec.'!K42</f>
        <v>11.010854557726159</v>
      </c>
      <c r="S3" s="35">
        <v>0</v>
      </c>
      <c r="T3" s="28">
        <f>0.1*'Caratt. Sollec.'!O42</f>
        <v>0.27527136394315399</v>
      </c>
    </row>
    <row r="4" spans="1:22" ht="15.75" x14ac:dyDescent="0.25">
      <c r="A4" s="30">
        <f>'Caratt. Sollec.'!A43</f>
        <v>6</v>
      </c>
      <c r="B4" s="36">
        <f>'Caratt. Sollec.'!J16</f>
        <v>91.799557804201172</v>
      </c>
      <c r="C4" s="36">
        <f>'Caratt. Sollec.'!K16</f>
        <v>91.799557804201172</v>
      </c>
      <c r="D4" s="36">
        <f>'Analisi Carichi Verti'!I37+D3</f>
        <v>303.78024687499999</v>
      </c>
      <c r="E4" s="31">
        <f>'Caratt. Sollec.'!O16</f>
        <v>27.537745516769522</v>
      </c>
      <c r="G4" s="36">
        <f>'Caratt. Sollec.'!J43</f>
        <v>110.15946936504142</v>
      </c>
      <c r="H4" s="36">
        <f>'Caratt. Sollec.'!K43</f>
        <v>110.15946936504142</v>
      </c>
      <c r="I4" s="36">
        <f>'Analisi Carichi Verti'!I33+I3</f>
        <v>77.959031249999995</v>
      </c>
      <c r="J4" s="31">
        <f>'Caratt. Sollec.'!O43</f>
        <v>33.045294620123435</v>
      </c>
      <c r="L4" s="36">
        <f>'Caratt. Sollec.'!J43</f>
        <v>110.15946936504142</v>
      </c>
      <c r="M4" s="31">
        <f>'Caratt. Sollec.'!K43</f>
        <v>110.15946936504142</v>
      </c>
      <c r="N4" s="36">
        <f>'Analisi Carichi Verti'!I31</f>
        <v>55.311609375000003</v>
      </c>
      <c r="O4" s="31">
        <f>0.1*'Caratt. Sollec.'!O43</f>
        <v>3.3045294620123435</v>
      </c>
      <c r="Q4" s="36">
        <f>'Caratt. Sollec.'!J43</f>
        <v>110.15946936504142</v>
      </c>
      <c r="R4" s="31">
        <f>'Caratt. Sollec.'!K43</f>
        <v>110.15946936504142</v>
      </c>
      <c r="S4" s="36">
        <f>'Analisi Carichi Verti'!I32</f>
        <v>58.259988437500013</v>
      </c>
      <c r="T4" s="31">
        <f>0.1*'Caratt. Sollec.'!O43</f>
        <v>3.3045294620123435</v>
      </c>
    </row>
    <row r="5" spans="1:22" ht="15.75" x14ac:dyDescent="0.25">
      <c r="A5" s="30">
        <f>'Caratt. Sollec.'!A44</f>
        <v>5</v>
      </c>
      <c r="B5" s="36">
        <f>'Caratt. Sollec.'!J17</f>
        <v>168.30311861231476</v>
      </c>
      <c r="C5" s="36">
        <f>'Caratt. Sollec.'!K17</f>
        <v>168.30311861231476</v>
      </c>
      <c r="D5" s="36">
        <f>'Analisi Carichi Verti'!I37+D4</f>
        <v>538.84915000000001</v>
      </c>
      <c r="E5" s="31">
        <f>'Caratt. Sollec.'!O17</f>
        <v>92.563414620898499</v>
      </c>
      <c r="G5" s="36">
        <f>'Caratt. Sollec.'!J44</f>
        <v>201.96374233477769</v>
      </c>
      <c r="H5" s="36">
        <f>'Caratt. Sollec.'!K44</f>
        <v>201.96374233477769</v>
      </c>
      <c r="I5" s="36">
        <f>'Analisi Carichi Verti'!I33+I4</f>
        <v>155.91806249999999</v>
      </c>
      <c r="J5" s="31">
        <f>'Caratt. Sollec.'!O44</f>
        <v>111.0760975450782</v>
      </c>
      <c r="L5" s="36">
        <f>'Caratt. Sollec.'!J44</f>
        <v>201.96374233477769</v>
      </c>
      <c r="M5" s="31">
        <f>'Caratt. Sollec.'!K44</f>
        <v>201.96374233477769</v>
      </c>
      <c r="N5" s="36">
        <f>'Analisi Carichi Verti'!I31+'Dimens. Pilastro'!N4</f>
        <v>110.62321875000001</v>
      </c>
      <c r="O5" s="31">
        <f>0.1*'Caratt. Sollec.'!O44</f>
        <v>11.10760975450782</v>
      </c>
      <c r="Q5" s="36">
        <f>'Caratt. Sollec.'!J44</f>
        <v>201.96374233477769</v>
      </c>
      <c r="R5" s="31">
        <f>'Caratt. Sollec.'!K44</f>
        <v>201.96374233477769</v>
      </c>
      <c r="S5" s="36">
        <f>S4+'Analisi Carichi Verti'!I32</f>
        <v>116.51997687500003</v>
      </c>
      <c r="T5" s="31">
        <f>0.1*'Caratt. Sollec.'!O44</f>
        <v>11.10760975450782</v>
      </c>
    </row>
    <row r="6" spans="1:22" ht="15.75" x14ac:dyDescent="0.25">
      <c r="A6" s="30">
        <f>'Caratt. Sollec.'!A45</f>
        <v>4</v>
      </c>
      <c r="B6" s="36">
        <f>'Caratt. Sollec.'!J18</f>
        <v>229.50596725880564</v>
      </c>
      <c r="C6" s="36">
        <f>'Caratt. Sollec.'!K18</f>
        <v>229.50596725880564</v>
      </c>
      <c r="D6" s="36">
        <f>D5+'Analisi Carichi Verti'!$I$37</f>
        <v>773.91805312500003</v>
      </c>
      <c r="E6" s="31">
        <f>'Caratt. Sollec.'!O18</f>
        <v>192.01568608867859</v>
      </c>
      <c r="G6" s="36">
        <f>'Caratt. Sollec.'!J45</f>
        <v>275.40716071056681</v>
      </c>
      <c r="H6" s="36">
        <f>'Caratt. Sollec.'!K45</f>
        <v>275.40716071056681</v>
      </c>
      <c r="I6" s="36">
        <f>I5+'Analisi Carichi Verti'!$I$33</f>
        <v>233.87709374999997</v>
      </c>
      <c r="J6" s="31">
        <f>'Caratt. Sollec.'!O45</f>
        <v>230.41882330641431</v>
      </c>
      <c r="L6" s="36">
        <f>'Caratt. Sollec.'!J45</f>
        <v>275.40716071056681</v>
      </c>
      <c r="M6" s="31">
        <f>'Caratt. Sollec.'!K45</f>
        <v>275.40716071056681</v>
      </c>
      <c r="N6" s="36">
        <f>N5+'Analisi Carichi Verti'!I31</f>
        <v>165.93482812500002</v>
      </c>
      <c r="O6" s="31">
        <f>0.1*'Caratt. Sollec.'!O45</f>
        <v>23.041882330641432</v>
      </c>
      <c r="Q6" s="36">
        <f>'Caratt. Sollec.'!J45</f>
        <v>275.40716071056681</v>
      </c>
      <c r="R6" s="31">
        <f>'Caratt. Sollec.'!K45</f>
        <v>275.40716071056681</v>
      </c>
      <c r="S6" s="36">
        <f>S5+'Analisi Carichi Verti'!I32</f>
        <v>174.77996531250005</v>
      </c>
      <c r="T6" s="31">
        <f>0.1*'Caratt. Sollec.'!O45</f>
        <v>23.041882330641432</v>
      </c>
    </row>
    <row r="7" spans="1:22" ht="15.75" x14ac:dyDescent="0.25">
      <c r="A7" s="30">
        <f>'Caratt. Sollec.'!A46</f>
        <v>3</v>
      </c>
      <c r="B7" s="36">
        <f>'Caratt. Sollec.'!J19</f>
        <v>275.40810374367379</v>
      </c>
      <c r="C7" s="36">
        <f>'Caratt. Sollec.'!K19</f>
        <v>275.40810374367379</v>
      </c>
      <c r="D7" s="36">
        <f>D6+'Analisi Carichi Vertic.'!$I$34</f>
        <v>1070.9208781249999</v>
      </c>
      <c r="E7" s="31">
        <f>'Caratt. Sollec.'!O19</f>
        <v>318.24420383929845</v>
      </c>
      <c r="F7" s="41"/>
      <c r="G7" s="36">
        <f>'Caratt. Sollec.'!J46</f>
        <v>330.48972449240853</v>
      </c>
      <c r="H7" s="36">
        <f>'Caratt. Sollec.'!K46</f>
        <v>330.48972449240853</v>
      </c>
      <c r="I7" s="36">
        <f>I6+'Analisi Carichi Vertic.'!$I$30</f>
        <v>345.01214374999995</v>
      </c>
      <c r="J7" s="31">
        <f>'Caratt. Sollec.'!O46</f>
        <v>381.89304460715812</v>
      </c>
      <c r="L7" s="36">
        <f>'Caratt. Sollec.'!J46</f>
        <v>330.48972449240853</v>
      </c>
      <c r="M7" s="31">
        <f>'Caratt. Sollec.'!K46</f>
        <v>330.48972449240853</v>
      </c>
      <c r="N7" s="36">
        <f>N6+'Analisi Carichi Vertic.'!I28</f>
        <v>248.50165312500002</v>
      </c>
      <c r="O7" s="31">
        <f>0.1*'Caratt. Sollec.'!O46</f>
        <v>38.18930446071581</v>
      </c>
      <c r="Q7" s="36">
        <f>'Caratt. Sollec.'!J46</f>
        <v>330.48972449240853</v>
      </c>
      <c r="R7" s="31">
        <f>'Caratt. Sollec.'!K46</f>
        <v>330.48972449240853</v>
      </c>
      <c r="S7" s="36">
        <f>S6+'Analisi Carichi Vertic.'!I29</f>
        <v>261.14371781250009</v>
      </c>
      <c r="T7" s="31">
        <f>0.1*'Caratt. Sollec.'!O46</f>
        <v>38.18930446071581</v>
      </c>
    </row>
    <row r="8" spans="1:22" ht="15.75" x14ac:dyDescent="0.25">
      <c r="A8" s="30">
        <f>'Caratt. Sollec.'!A47</f>
        <v>2</v>
      </c>
      <c r="B8" s="36">
        <f>'Caratt. Sollec.'!J20</f>
        <v>306.00952806691924</v>
      </c>
      <c r="C8" s="36">
        <f>'Caratt. Sollec.'!K20</f>
        <v>306.00952806691924</v>
      </c>
      <c r="D8" s="36">
        <f>D7+'Analisi Carichi Vertic.'!$I$34</f>
        <v>1367.923703125</v>
      </c>
      <c r="E8" s="31">
        <f>'Caratt. Sollec.'!O20</f>
        <v>463.59861179194672</v>
      </c>
      <c r="G8" s="36">
        <f>'Caratt. Sollec.'!J47</f>
        <v>367.21143368030312</v>
      </c>
      <c r="H8" s="36">
        <f>'Caratt. Sollec.'!K47</f>
        <v>367.21143368030312</v>
      </c>
      <c r="I8" s="36">
        <f>I7+'Analisi Carichi Vertic.'!$I$30</f>
        <v>456.14719374999993</v>
      </c>
      <c r="J8" s="31">
        <f>'Caratt. Sollec.'!O47</f>
        <v>556.318334150336</v>
      </c>
      <c r="L8" s="36">
        <f>'Caratt. Sollec.'!J47</f>
        <v>367.21143368030312</v>
      </c>
      <c r="M8" s="31">
        <f>'Caratt. Sollec.'!K47</f>
        <v>367.21143368030312</v>
      </c>
      <c r="N8" s="36">
        <f>N7+'Analisi Carichi Vertic.'!I28</f>
        <v>331.06847812500001</v>
      </c>
      <c r="O8" s="31">
        <f>0.1*'Caratt. Sollec.'!O47</f>
        <v>55.631833415033604</v>
      </c>
      <c r="Q8" s="36">
        <f>'Caratt. Sollec.'!J47</f>
        <v>367.21143368030312</v>
      </c>
      <c r="R8" s="31">
        <f>'Caratt. Sollec.'!K47</f>
        <v>367.21143368030312</v>
      </c>
      <c r="S8" s="36">
        <f>S7+'Analisi Carichi Vertic.'!I29</f>
        <v>347.50747031250012</v>
      </c>
      <c r="T8" s="31">
        <f>0.1*'Caratt. Sollec.'!O47</f>
        <v>55.631833415033604</v>
      </c>
    </row>
    <row r="9" spans="1:22" ht="15.75" x14ac:dyDescent="0.25">
      <c r="A9" s="21">
        <f>'Caratt. Sollec.'!A48</f>
        <v>1</v>
      </c>
      <c r="B9" s="37">
        <f>'Caratt. Sollec.'!J21</f>
        <v>302.05329461999992</v>
      </c>
      <c r="C9" s="37">
        <f>'Caratt. Sollec.'!K21</f>
        <v>194.17711797000004</v>
      </c>
      <c r="D9" s="276">
        <f>D8+'Analisi Carichi Vertic.'!$I$34</f>
        <v>1664.926528125</v>
      </c>
      <c r="E9" s="277">
        <f>'Caratt. Sollec.'!O21</f>
        <v>588.64527330117653</v>
      </c>
      <c r="G9" s="37">
        <f>'Caratt. Sollec.'!J48</f>
        <v>362.46395354399988</v>
      </c>
      <c r="H9" s="37">
        <f>'Caratt. Sollec.'!K48</f>
        <v>233.01254156400003</v>
      </c>
      <c r="I9" s="276">
        <f>I8+'Analisi Carichi Vertic.'!$I$30</f>
        <v>567.28224374999991</v>
      </c>
      <c r="J9" s="277">
        <f>'Caratt. Sollec.'!O48</f>
        <v>706.37432796141184</v>
      </c>
      <c r="L9" s="275">
        <f>'Caratt. Sollec.'!J48</f>
        <v>362.46395354399988</v>
      </c>
      <c r="M9" s="22">
        <f>'Caratt. Sollec.'!K48</f>
        <v>233.01254156400003</v>
      </c>
      <c r="N9" s="275">
        <f>N8+'Analisi Carichi Vertic.'!I28</f>
        <v>413.63530312500001</v>
      </c>
      <c r="O9" s="22">
        <f>0.1*'Caratt. Sollec.'!O48</f>
        <v>70.637432796141184</v>
      </c>
      <c r="Q9" s="275">
        <f>'Caratt. Sollec.'!J48</f>
        <v>362.46395354399988</v>
      </c>
      <c r="R9" s="22">
        <f>'Caratt. Sollec.'!K48</f>
        <v>233.01254156400003</v>
      </c>
      <c r="S9" s="276">
        <f>S8+'Analisi Carichi Vertic.'!I29</f>
        <v>433.87122281250015</v>
      </c>
      <c r="T9" s="277">
        <f>0.1*'Caratt. Sollec.'!O48</f>
        <v>70.637432796141184</v>
      </c>
    </row>
    <row r="10" spans="1:22" ht="15.75" x14ac:dyDescent="0.25">
      <c r="A10" s="21" t="str">
        <f>'Caratt. Sollec.'!A49</f>
        <v>TOT</v>
      </c>
      <c r="B10" s="155"/>
      <c r="C10" s="155"/>
      <c r="D10" s="7"/>
      <c r="E10" s="7"/>
      <c r="F10" s="7"/>
      <c r="G10" s="7"/>
      <c r="H10" s="7"/>
    </row>
    <row r="11" spans="1:22" ht="15.75" x14ac:dyDescent="0.25">
      <c r="A11" s="13"/>
      <c r="B11" s="155"/>
      <c r="C11" s="155"/>
      <c r="D11" s="7"/>
      <c r="E11" s="7"/>
      <c r="F11" s="7"/>
      <c r="G11" s="7"/>
      <c r="H11" s="7"/>
    </row>
    <row r="12" spans="1:22" ht="15.75" x14ac:dyDescent="0.25">
      <c r="A12" s="451" t="s">
        <v>321</v>
      </c>
      <c r="B12" s="452"/>
      <c r="C12" s="453" t="s">
        <v>317</v>
      </c>
      <c r="D12" s="454"/>
      <c r="E12" s="454"/>
      <c r="F12" s="454"/>
      <c r="G12" s="454"/>
      <c r="H12" s="454"/>
      <c r="I12" s="454"/>
      <c r="J12" s="454"/>
      <c r="K12" s="454"/>
      <c r="L12" s="454"/>
      <c r="M12" s="454"/>
      <c r="N12" s="454"/>
      <c r="O12" s="455"/>
    </row>
    <row r="13" spans="1:22" ht="15.75" x14ac:dyDescent="0.25">
      <c r="A13" s="436"/>
      <c r="B13" s="403"/>
      <c r="C13" s="448" t="s">
        <v>190</v>
      </c>
      <c r="D13" s="448"/>
      <c r="E13" s="448"/>
      <c r="F13" s="448" t="s">
        <v>191</v>
      </c>
      <c r="G13" s="448"/>
      <c r="H13" s="448"/>
      <c r="I13" s="448"/>
      <c r="J13" s="448" t="s">
        <v>194</v>
      </c>
      <c r="K13" s="448"/>
      <c r="L13" s="448"/>
      <c r="M13" s="448"/>
      <c r="N13" s="448" t="s">
        <v>208</v>
      </c>
      <c r="O13" s="448"/>
    </row>
    <row r="14" spans="1:22" ht="34.5" x14ac:dyDescent="0.25">
      <c r="A14" s="153" t="s">
        <v>188</v>
      </c>
      <c r="B14" s="156" t="s">
        <v>323</v>
      </c>
      <c r="C14" s="160" t="s">
        <v>197</v>
      </c>
      <c r="D14" s="161" t="s">
        <v>198</v>
      </c>
      <c r="E14" s="161" t="s">
        <v>199</v>
      </c>
      <c r="F14" s="169" t="s">
        <v>192</v>
      </c>
      <c r="G14" s="162" t="s">
        <v>200</v>
      </c>
      <c r="H14" s="162" t="s">
        <v>193</v>
      </c>
      <c r="I14" s="170" t="s">
        <v>201</v>
      </c>
      <c r="J14" s="163" t="s">
        <v>202</v>
      </c>
      <c r="K14" s="164" t="s">
        <v>195</v>
      </c>
      <c r="L14" s="163" t="s">
        <v>203</v>
      </c>
      <c r="M14" s="165" t="s">
        <v>196</v>
      </c>
      <c r="N14" s="172" t="s">
        <v>207</v>
      </c>
      <c r="O14" s="176" t="s">
        <v>229</v>
      </c>
    </row>
    <row r="15" spans="1:22" ht="15.75" x14ac:dyDescent="0.25">
      <c r="A15" s="6">
        <f>0.7*MAX(B3:C9)</f>
        <v>214.20666964684347</v>
      </c>
      <c r="B15" s="157">
        <f>D9+E9*0.7</f>
        <v>2076.9782194358236</v>
      </c>
      <c r="C15" s="174">
        <v>30</v>
      </c>
      <c r="D15" s="174">
        <v>70</v>
      </c>
      <c r="E15" s="174">
        <v>4</v>
      </c>
      <c r="F15" s="174" t="s">
        <v>77</v>
      </c>
      <c r="G15" s="174">
        <v>1.5</v>
      </c>
      <c r="H15" s="174" t="s">
        <v>204</v>
      </c>
      <c r="I15" s="174">
        <v>1.1499999999999999</v>
      </c>
      <c r="J15" s="159">
        <v>20</v>
      </c>
      <c r="K15" s="159">
        <v>5</v>
      </c>
      <c r="L15" s="159">
        <v>20</v>
      </c>
      <c r="M15" s="159">
        <v>5</v>
      </c>
      <c r="N15" s="159"/>
      <c r="O15" s="159"/>
    </row>
    <row r="16" spans="1:22" ht="15.75" x14ac:dyDescent="0.25">
      <c r="A16" s="14"/>
      <c r="B16" s="14"/>
      <c r="C16" s="149"/>
      <c r="D16" s="149"/>
      <c r="E16" s="149"/>
      <c r="F16" s="149"/>
      <c r="G16" s="149"/>
      <c r="H16" s="149"/>
      <c r="I16" s="149"/>
      <c r="J16" s="171"/>
      <c r="K16" s="171"/>
      <c r="L16" s="171"/>
      <c r="M16" s="171"/>
    </row>
    <row r="17" spans="1:15" ht="15.75" x14ac:dyDescent="0.25">
      <c r="A17" s="456" t="s">
        <v>321</v>
      </c>
      <c r="B17" s="456"/>
      <c r="C17" s="453" t="s">
        <v>318</v>
      </c>
      <c r="D17" s="454"/>
      <c r="E17" s="454"/>
      <c r="F17" s="454"/>
      <c r="G17" s="454"/>
      <c r="H17" s="454"/>
      <c r="I17" s="454"/>
      <c r="J17" s="454"/>
      <c r="K17" s="454"/>
      <c r="L17" s="454"/>
      <c r="M17" s="454"/>
      <c r="N17" s="454"/>
      <c r="O17" s="455"/>
    </row>
    <row r="18" spans="1:15" ht="15.75" x14ac:dyDescent="0.25">
      <c r="A18" s="457"/>
      <c r="B18" s="457"/>
      <c r="C18" s="448" t="s">
        <v>190</v>
      </c>
      <c r="D18" s="448"/>
      <c r="E18" s="448"/>
      <c r="F18" s="448" t="s">
        <v>191</v>
      </c>
      <c r="G18" s="448"/>
      <c r="H18" s="448"/>
      <c r="I18" s="448"/>
      <c r="J18" s="448" t="s">
        <v>194</v>
      </c>
      <c r="K18" s="448"/>
      <c r="L18" s="448"/>
      <c r="M18" s="448"/>
      <c r="N18" s="448" t="s">
        <v>208</v>
      </c>
      <c r="O18" s="448"/>
    </row>
    <row r="19" spans="1:15" ht="34.5" x14ac:dyDescent="0.25">
      <c r="A19" s="156" t="s">
        <v>188</v>
      </c>
      <c r="B19" s="154" t="s">
        <v>322</v>
      </c>
      <c r="C19" s="160" t="s">
        <v>197</v>
      </c>
      <c r="D19" s="161" t="s">
        <v>198</v>
      </c>
      <c r="E19" s="161" t="s">
        <v>199</v>
      </c>
      <c r="F19" s="169" t="s">
        <v>192</v>
      </c>
      <c r="G19" s="162" t="s">
        <v>200</v>
      </c>
      <c r="H19" s="162" t="s">
        <v>193</v>
      </c>
      <c r="I19" s="170" t="s">
        <v>201</v>
      </c>
      <c r="J19" s="163" t="s">
        <v>202</v>
      </c>
      <c r="K19" s="164" t="s">
        <v>195</v>
      </c>
      <c r="L19" s="163" t="s">
        <v>203</v>
      </c>
      <c r="M19" s="165" t="s">
        <v>196</v>
      </c>
      <c r="N19" s="172" t="s">
        <v>207</v>
      </c>
      <c r="O19" s="176" t="s">
        <v>229</v>
      </c>
    </row>
    <row r="20" spans="1:15" ht="15.75" x14ac:dyDescent="0.25">
      <c r="A20" s="173">
        <f>0.7*MAX(G3:H9)</f>
        <v>257.04800357621218</v>
      </c>
      <c r="B20" s="6">
        <f>I9-J9*0.7</f>
        <v>72.820214177011678</v>
      </c>
      <c r="C20" s="174">
        <v>30</v>
      </c>
      <c r="D20" s="174">
        <v>70</v>
      </c>
      <c r="E20" s="174">
        <v>4</v>
      </c>
      <c r="F20" s="174" t="s">
        <v>77</v>
      </c>
      <c r="G20" s="174">
        <v>1.5</v>
      </c>
      <c r="H20" s="174" t="s">
        <v>204</v>
      </c>
      <c r="I20" s="174">
        <v>1.1499999999999999</v>
      </c>
      <c r="J20" s="159">
        <v>20</v>
      </c>
      <c r="K20" s="159">
        <v>5</v>
      </c>
      <c r="L20" s="159">
        <v>20</v>
      </c>
      <c r="M20" s="159">
        <v>5</v>
      </c>
      <c r="N20" s="175"/>
      <c r="O20" s="175"/>
    </row>
    <row r="22" spans="1:15" ht="15.75" x14ac:dyDescent="0.25">
      <c r="A22" s="456" t="s">
        <v>321</v>
      </c>
      <c r="B22" s="456"/>
      <c r="C22" s="453" t="s">
        <v>320</v>
      </c>
      <c r="D22" s="454"/>
      <c r="E22" s="454"/>
      <c r="F22" s="454"/>
      <c r="G22" s="454"/>
      <c r="H22" s="454"/>
      <c r="I22" s="454"/>
      <c r="J22" s="454"/>
      <c r="K22" s="454"/>
      <c r="L22" s="454"/>
      <c r="M22" s="454"/>
      <c r="N22" s="454"/>
      <c r="O22" s="455"/>
    </row>
    <row r="23" spans="1:15" ht="15.75" x14ac:dyDescent="0.25">
      <c r="A23" s="457"/>
      <c r="B23" s="457"/>
      <c r="C23" s="448" t="s">
        <v>190</v>
      </c>
      <c r="D23" s="448"/>
      <c r="E23" s="448"/>
      <c r="F23" s="448" t="s">
        <v>191</v>
      </c>
      <c r="G23" s="448"/>
      <c r="H23" s="448"/>
      <c r="I23" s="448"/>
      <c r="J23" s="448" t="s">
        <v>194</v>
      </c>
      <c r="K23" s="448"/>
      <c r="L23" s="448"/>
      <c r="M23" s="448"/>
      <c r="N23" s="448" t="s">
        <v>208</v>
      </c>
      <c r="O23" s="448"/>
    </row>
    <row r="24" spans="1:15" ht="34.5" x14ac:dyDescent="0.25">
      <c r="A24" s="156" t="s">
        <v>188</v>
      </c>
      <c r="B24" s="154" t="s">
        <v>189</v>
      </c>
      <c r="C24" s="160" t="s">
        <v>197</v>
      </c>
      <c r="D24" s="161" t="s">
        <v>198</v>
      </c>
      <c r="E24" s="161" t="s">
        <v>199</v>
      </c>
      <c r="F24" s="169" t="s">
        <v>192</v>
      </c>
      <c r="G24" s="162" t="s">
        <v>200</v>
      </c>
      <c r="H24" s="162" t="s">
        <v>193</v>
      </c>
      <c r="I24" s="170" t="s">
        <v>201</v>
      </c>
      <c r="J24" s="163" t="s">
        <v>202</v>
      </c>
      <c r="K24" s="164" t="s">
        <v>195</v>
      </c>
      <c r="L24" s="163" t="s">
        <v>203</v>
      </c>
      <c r="M24" s="165" t="s">
        <v>196</v>
      </c>
      <c r="N24" s="172" t="s">
        <v>207</v>
      </c>
      <c r="O24" s="176" t="s">
        <v>229</v>
      </c>
    </row>
    <row r="25" spans="1:15" ht="15.75" x14ac:dyDescent="0.25">
      <c r="A25" s="173">
        <f>0.1*MAX(Q3:R9)</f>
        <v>36.721143368030312</v>
      </c>
      <c r="B25" s="6">
        <f>S9-T9*0.1</f>
        <v>426.80747953288602</v>
      </c>
      <c r="C25" s="174">
        <v>30</v>
      </c>
      <c r="D25" s="174">
        <v>70</v>
      </c>
      <c r="E25" s="174">
        <v>4</v>
      </c>
      <c r="F25" s="174" t="s">
        <v>77</v>
      </c>
      <c r="G25" s="174">
        <v>1.5</v>
      </c>
      <c r="H25" s="174" t="s">
        <v>204</v>
      </c>
      <c r="I25" s="174">
        <v>1.1499999999999999</v>
      </c>
      <c r="J25" s="159">
        <v>20</v>
      </c>
      <c r="K25" s="159">
        <v>5</v>
      </c>
      <c r="L25" s="159">
        <v>20</v>
      </c>
      <c r="M25" s="159">
        <v>5</v>
      </c>
      <c r="N25" s="175"/>
      <c r="O25" s="175"/>
    </row>
  </sheetData>
  <mergeCells count="19">
    <mergeCell ref="A17:B18"/>
    <mergeCell ref="A22:B23"/>
    <mergeCell ref="C22:O22"/>
    <mergeCell ref="C23:E23"/>
    <mergeCell ref="F23:I23"/>
    <mergeCell ref="J23:M23"/>
    <mergeCell ref="N23:O23"/>
    <mergeCell ref="N18:O18"/>
    <mergeCell ref="C17:O17"/>
    <mergeCell ref="C18:E18"/>
    <mergeCell ref="F18:I18"/>
    <mergeCell ref="J18:M18"/>
    <mergeCell ref="C13:E13"/>
    <mergeCell ref="F13:I13"/>
    <mergeCell ref="J13:M13"/>
    <mergeCell ref="A1:T1"/>
    <mergeCell ref="A12:B13"/>
    <mergeCell ref="N13:O13"/>
    <mergeCell ref="C12:O12"/>
  </mergeCells>
  <dataValidations count="4">
    <dataValidation type="list" allowBlank="1" showInputMessage="1" showErrorMessage="1" sqref="K15:K16 M15:M16 K20 M20 K25 M25">
      <formula1>Numero</formula1>
    </dataValidation>
    <dataValidation type="list" allowBlank="1" showInputMessage="1" showErrorMessage="1" sqref="J15:J16 L15:L16 J20 L20 J25 L25">
      <formula1>Diametro</formula1>
    </dataValidation>
    <dataValidation type="list" allowBlank="1" showInputMessage="1" showErrorMessage="1" sqref="F16">
      <formula1>Classe</formula1>
    </dataValidation>
    <dataValidation type="list" allowBlank="1" showInputMessage="1" showErrorMessage="1" sqref="F15 F20 F25">
      <formula1>cls</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90" zoomScaleNormal="90" workbookViewId="0">
      <selection activeCell="O16" sqref="O16"/>
    </sheetView>
  </sheetViews>
  <sheetFormatPr defaultRowHeight="15" x14ac:dyDescent="0.25"/>
  <cols>
    <col min="1" max="1" width="9.7109375" customWidth="1"/>
    <col min="2" max="2" width="12.85546875" customWidth="1"/>
    <col min="3" max="3" width="9.7109375" customWidth="1"/>
    <col min="4" max="4" width="11.140625" customWidth="1"/>
    <col min="5" max="5" width="10.28515625" customWidth="1"/>
    <col min="6" max="6" width="11" customWidth="1"/>
    <col min="7" max="7" width="11.140625" customWidth="1"/>
    <col min="8" max="8" width="9.7109375" customWidth="1"/>
    <col min="9" max="9" width="8.5703125" customWidth="1"/>
    <col min="10" max="10" width="10.28515625" customWidth="1"/>
    <col min="11" max="11" width="12.85546875" customWidth="1"/>
    <col min="12" max="12" width="9.7109375" customWidth="1"/>
    <col min="13" max="14" width="11.140625" customWidth="1"/>
    <col min="15" max="15" width="10.28515625" customWidth="1"/>
    <col min="16" max="16" width="11.140625" customWidth="1"/>
    <col min="17" max="17" width="9.7109375" customWidth="1"/>
    <col min="22" max="22" width="8.42578125" customWidth="1"/>
    <col min="25" max="25" width="12.140625" bestFit="1" customWidth="1"/>
    <col min="30" max="30" width="12.140625" bestFit="1" customWidth="1"/>
  </cols>
  <sheetData>
    <row r="1" spans="1:20" ht="15.75" x14ac:dyDescent="0.25">
      <c r="A1" s="404" t="s">
        <v>210</v>
      </c>
      <c r="B1" s="405"/>
      <c r="C1" s="405"/>
      <c r="D1" s="405"/>
      <c r="E1" s="405"/>
      <c r="F1" s="405"/>
      <c r="G1" s="405"/>
      <c r="H1" s="405"/>
      <c r="I1" s="405"/>
      <c r="J1" s="406"/>
      <c r="K1" s="404" t="s">
        <v>483</v>
      </c>
      <c r="L1" s="405"/>
      <c r="M1" s="405"/>
      <c r="N1" s="405"/>
      <c r="O1" s="405"/>
      <c r="P1" s="405"/>
      <c r="Q1" s="405"/>
      <c r="R1" s="405"/>
      <c r="S1" s="405"/>
      <c r="T1" s="406"/>
    </row>
    <row r="2" spans="1:20" ht="60" customHeight="1" x14ac:dyDescent="0.25">
      <c r="A2" s="399" t="s">
        <v>225</v>
      </c>
      <c r="B2" s="399"/>
      <c r="C2" s="399"/>
      <c r="D2" s="399"/>
      <c r="E2" s="400"/>
      <c r="F2" s="398" t="s">
        <v>226</v>
      </c>
      <c r="G2" s="399"/>
      <c r="H2" s="399"/>
      <c r="I2" s="399"/>
      <c r="J2" s="400"/>
      <c r="K2" s="398" t="s">
        <v>225</v>
      </c>
      <c r="L2" s="399"/>
      <c r="M2" s="399"/>
      <c r="N2" s="399"/>
      <c r="O2" s="400"/>
      <c r="P2" s="398" t="s">
        <v>226</v>
      </c>
      <c r="Q2" s="399"/>
      <c r="R2" s="399"/>
      <c r="S2" s="399"/>
      <c r="T2" s="400"/>
    </row>
    <row r="3" spans="1:20" ht="34.5" x14ac:dyDescent="0.25">
      <c r="A3" s="179" t="s">
        <v>222</v>
      </c>
      <c r="B3" s="179" t="s">
        <v>223</v>
      </c>
      <c r="C3" s="179" t="s">
        <v>221</v>
      </c>
      <c r="D3" s="179" t="s">
        <v>224</v>
      </c>
      <c r="E3" s="180" t="s">
        <v>218</v>
      </c>
      <c r="F3" s="179" t="s">
        <v>222</v>
      </c>
      <c r="G3" s="179" t="s">
        <v>223</v>
      </c>
      <c r="H3" s="179" t="s">
        <v>371</v>
      </c>
      <c r="I3" s="181" t="s">
        <v>372</v>
      </c>
      <c r="J3" s="178" t="s">
        <v>218</v>
      </c>
      <c r="K3" s="179" t="s">
        <v>222</v>
      </c>
      <c r="L3" s="179" t="s">
        <v>223</v>
      </c>
      <c r="M3" s="179" t="s">
        <v>221</v>
      </c>
      <c r="N3" s="179" t="s">
        <v>224</v>
      </c>
      <c r="O3" s="180" t="s">
        <v>218</v>
      </c>
      <c r="P3" s="179" t="s">
        <v>222</v>
      </c>
      <c r="Q3" s="179" t="s">
        <v>223</v>
      </c>
      <c r="R3" s="179" t="s">
        <v>371</v>
      </c>
      <c r="S3" s="181" t="s">
        <v>372</v>
      </c>
      <c r="T3" s="178" t="s">
        <v>218</v>
      </c>
    </row>
    <row r="4" spans="1:20" x14ac:dyDescent="0.25">
      <c r="A4" s="167">
        <f>'Analisi dei Carichi Pilastro'!A3</f>
        <v>0.3</v>
      </c>
      <c r="B4" s="167">
        <f>'Analisi dei Carichi Pilastro'!B3</f>
        <v>0.7</v>
      </c>
      <c r="C4" s="167">
        <v>3.3</v>
      </c>
      <c r="D4" s="177">
        <f>(A4*B4^3)/12</f>
        <v>8.5749999999999976E-3</v>
      </c>
      <c r="E4" s="177">
        <f>Dati!H18</f>
        <v>31475806.210019346</v>
      </c>
      <c r="F4" s="167">
        <f>'Analisi dei Carichi Trave Emerg'!A3</f>
        <v>0.3</v>
      </c>
      <c r="G4" s="167">
        <f>'Analisi dei Carichi Trave Emerg'!B3</f>
        <v>0.7</v>
      </c>
      <c r="H4" s="167">
        <f>((405*3+455+395+3*565+530+420*2+520*3+450)/$C$10)/100</f>
        <v>4.76</v>
      </c>
      <c r="I4" s="167">
        <f>(F4*G4^3)/12</f>
        <v>8.5749999999999976E-3</v>
      </c>
      <c r="J4" s="158">
        <f>Dati!H12</f>
        <v>31475806.210019346</v>
      </c>
      <c r="K4" s="167">
        <f>'Analisi dei Carichi Pilastr'!A3</f>
        <v>0.3</v>
      </c>
      <c r="L4" s="167">
        <f>'Analisi dei Carichi Pilastr'!B3</f>
        <v>0.6</v>
      </c>
      <c r="M4" s="167">
        <v>3.3</v>
      </c>
      <c r="N4" s="177">
        <f>(K4*L4^3)/12</f>
        <v>5.3999999999999994E-3</v>
      </c>
      <c r="O4" s="158">
        <f>Dati!H18</f>
        <v>31475806.210019346</v>
      </c>
      <c r="P4" s="167">
        <f>'Analisi dei Carichi Trave Emer'!A3</f>
        <v>0.3</v>
      </c>
      <c r="Q4" s="167">
        <f>'Analisi dei Carichi Trave Emer'!B3</f>
        <v>0.6</v>
      </c>
      <c r="R4" s="167">
        <f>((405*3+455+395+3*565+530+420*2+520*3+450)/$C$10)/100</f>
        <v>4.76</v>
      </c>
      <c r="S4" s="167">
        <f>(P4*Q4^3)/12</f>
        <v>5.3999999999999994E-3</v>
      </c>
      <c r="T4" s="167">
        <f>Dati!$H$12</f>
        <v>31475806.210019346</v>
      </c>
    </row>
    <row r="6" spans="1:20" ht="90" x14ac:dyDescent="0.25">
      <c r="A6" s="274" t="str">
        <f>'Dimens. Pilastro'!A2</f>
        <v>Impalcato</v>
      </c>
      <c r="B6" s="25" t="s">
        <v>386</v>
      </c>
      <c r="C6" s="25" t="s">
        <v>374</v>
      </c>
      <c r="D6" s="10" t="s">
        <v>219</v>
      </c>
      <c r="E6" s="10" t="s">
        <v>220</v>
      </c>
      <c r="F6" s="10" t="s">
        <v>227</v>
      </c>
      <c r="G6" s="10" t="s">
        <v>228</v>
      </c>
      <c r="H6" s="10" t="s">
        <v>230</v>
      </c>
      <c r="J6" s="274" t="str">
        <f t="shared" ref="J6:J13" si="0">A6</f>
        <v>Impalcato</v>
      </c>
      <c r="K6" s="25" t="s">
        <v>231</v>
      </c>
      <c r="L6" s="25" t="s">
        <v>373</v>
      </c>
      <c r="M6" s="10" t="s">
        <v>219</v>
      </c>
      <c r="N6" s="10" t="s">
        <v>220</v>
      </c>
      <c r="O6" s="10" t="s">
        <v>227</v>
      </c>
      <c r="P6" s="10" t="s">
        <v>228</v>
      </c>
      <c r="Q6" s="10" t="s">
        <v>232</v>
      </c>
    </row>
    <row r="7" spans="1:20" x14ac:dyDescent="0.25">
      <c r="A7" s="268" t="str">
        <f>'Dimens. Pilastro'!A3</f>
        <v>Torrino</v>
      </c>
      <c r="B7" s="269">
        <v>3</v>
      </c>
      <c r="C7" s="270">
        <v>2</v>
      </c>
      <c r="D7" s="115">
        <f>$O$4*'Stima delle rigidezze 1'!$B$7*'Stima delle rigidezze 1'!$N$4/('Stima delle rigidezze 1'!$M$4^3)</f>
        <v>14188.943445538396</v>
      </c>
      <c r="E7" s="269">
        <f>$O$4*'Stima delle rigidezze 1'!$B$7*'Stima delle rigidezze 1'!$N$4/('Stima delle rigidezze 1'!$M$4)</f>
        <v>154517.59412191313</v>
      </c>
      <c r="F7" s="269">
        <f>$T$4*$C$7*$S$4/$R$4</f>
        <v>71415.69476222877</v>
      </c>
      <c r="G7" s="269">
        <f>$T$4*$C$7*$S$4/$R$4</f>
        <v>71415.69476222877</v>
      </c>
      <c r="H7" s="117">
        <f>(12*D7*(1/(1+(0.5*(E7/F7+E7/G7)))))/1000</f>
        <v>53.82013031066289</v>
      </c>
      <c r="J7" s="268" t="str">
        <f t="shared" si="0"/>
        <v>Torrino</v>
      </c>
      <c r="K7" s="269">
        <v>2</v>
      </c>
      <c r="L7" s="270">
        <v>1</v>
      </c>
      <c r="M7" s="115">
        <f>$O$4*'Stima delle rigidezze 1'!$K$7*'Stima delle rigidezze 1'!$N$4/('Stima delle rigidezze 1'!$M$4^3)</f>
        <v>9459.2956303589308</v>
      </c>
      <c r="N7" s="269">
        <f>$O$4*'Stima delle rigidezze 1'!$K$7*'Stima delle rigidezze 1'!$N$4/('Stima delle rigidezze 1'!$M$4)</f>
        <v>103011.72941460877</v>
      </c>
      <c r="O7" s="269">
        <f>$T$4*$L$7*$S$4/$R$4</f>
        <v>35707.847381114385</v>
      </c>
      <c r="P7" s="269">
        <f>$T$4*$L$7*$S$4/$R$4</f>
        <v>35707.847381114385</v>
      </c>
      <c r="Q7" s="117">
        <f>(12*M7*(1/(1+(0.5*(N7/O7+N7/P7)))))/1000</f>
        <v>29.219041104696856</v>
      </c>
    </row>
    <row r="8" spans="1:20" x14ac:dyDescent="0.25">
      <c r="A8" s="290">
        <f>'Dimens. Pilastro'!A4</f>
        <v>6</v>
      </c>
      <c r="B8" s="306"/>
      <c r="C8" s="302"/>
      <c r="D8" s="101">
        <f>$O$4*'Stima delle rigidezze 1'!$B$10*'Stima delle rigidezze 1'!$N$4/('Stima delle rigidezze 1'!$M$4^3)</f>
        <v>61485.42159733305</v>
      </c>
      <c r="E8" s="325">
        <f>$O$4*'Stima delle rigidezze 1'!$B$10*'Stima delle rigidezze 1'!$N$4/('Stima delle rigidezze 1'!$M$4)</f>
        <v>669576.24119495694</v>
      </c>
      <c r="F8" s="325">
        <f>$T$4*$C$10*$S$4/$R$4</f>
        <v>535617.71071671578</v>
      </c>
      <c r="G8" s="325">
        <f>$J$4*$C$10*$I$4/$H$4</f>
        <v>850541.08692515502</v>
      </c>
      <c r="H8" s="292">
        <f>(12*D8*(1/(1+(0.5*(E8/F8+E8/G8)))))/1000</f>
        <v>365.50088659389905</v>
      </c>
      <c r="J8" s="290">
        <f t="shared" si="0"/>
        <v>6</v>
      </c>
      <c r="K8" s="306"/>
      <c r="L8" s="302"/>
      <c r="M8" s="101">
        <f>$O$4*'Stima delle rigidezze 1'!$K$10*'Stima delle rigidezze 1'!$N$4/('Stima delle rigidezze 1'!$M$4^3)</f>
        <v>61485.42159733305</v>
      </c>
      <c r="N8" s="325">
        <f>$O$4*'Stima delle rigidezze 1'!$K$10*'Stima delle rigidezze 1'!$N$4/('Stima delle rigidezze 1'!$M$4)</f>
        <v>669576.24119495694</v>
      </c>
      <c r="O8" s="325">
        <f>$T$4*$L$10*$S$4/$R$4</f>
        <v>464202.01595448697</v>
      </c>
      <c r="P8" s="325">
        <f>$J$4*$L$10*$I$4/$H$4</f>
        <v>737135.60866846761</v>
      </c>
      <c r="Q8" s="292">
        <f>(12*M8*(1/(1+(0.5*(N8/O8+N8/P8)))))/1000</f>
        <v>339.16963858160409</v>
      </c>
    </row>
    <row r="9" spans="1:20" x14ac:dyDescent="0.25">
      <c r="A9" s="291">
        <f>'Dimens. Pilastro'!A5</f>
        <v>5</v>
      </c>
      <c r="B9" s="100"/>
      <c r="C9" s="303"/>
      <c r="D9" s="101">
        <f>$E$4*'Stima delle rigidezze 1'!$B$10*'Stima delle rigidezze 1'!$D$4/('Stima delle rigidezze 1'!$C$4^3)</f>
        <v>97636.572258727931</v>
      </c>
      <c r="E9" s="325">
        <f>$E$4*'Stima delle rigidezze 1'!$B$10*'Stima delle rigidezze 1'!$D$4/('Stima delle rigidezze 1'!$C$4)</f>
        <v>1063262.2718975472</v>
      </c>
      <c r="F9" s="325">
        <f t="shared" ref="F9:G10" si="1">$J$4*$C$10*$I$4/$H$4</f>
        <v>850541.08692515502</v>
      </c>
      <c r="G9" s="325">
        <f t="shared" si="1"/>
        <v>850541.08692515502</v>
      </c>
      <c r="H9" s="292">
        <f t="shared" ref="H9:H12" si="2">(12*D9*(1/(1+(0.5*(E9/F9+E9/G9)))))/1000</f>
        <v>520.70500917296101</v>
      </c>
      <c r="J9" s="291">
        <f t="shared" si="0"/>
        <v>5</v>
      </c>
      <c r="K9" s="100"/>
      <c r="L9" s="303"/>
      <c r="M9" s="101">
        <f>$E$4*'Stima delle rigidezze 1'!$K$10*'Stima delle rigidezze 1'!$D$4/('Stima delle rigidezze 1'!$C$4^3)</f>
        <v>97636.572258727931</v>
      </c>
      <c r="N9" s="325">
        <f>$E$4*'Stima delle rigidezze 1'!$K$10*'Stima delle rigidezze 1'!$D$4/('Stima delle rigidezze 1'!$C$4)</f>
        <v>1063262.2718975472</v>
      </c>
      <c r="O9" s="325">
        <f t="shared" ref="O9:O10" si="3">$J$4*$L$10*$I$4/$H$4</f>
        <v>737135.60866846761</v>
      </c>
      <c r="P9" s="325">
        <f t="shared" ref="P9:P12" si="4">$J$4*$L$10*$I$4/$H$4</f>
        <v>737135.60866846761</v>
      </c>
      <c r="Q9" s="292">
        <f>(12*M9*(1/(1+(0.5*(N9/O9+N9/P9)))))/1000</f>
        <v>479.70325824387425</v>
      </c>
    </row>
    <row r="10" spans="1:20" x14ac:dyDescent="0.25">
      <c r="A10" s="291">
        <f>'Dimens. Pilastro'!A6</f>
        <v>4</v>
      </c>
      <c r="B10" s="272">
        <f>'Caratt. Sollec.'!G8</f>
        <v>13</v>
      </c>
      <c r="C10" s="304">
        <v>15</v>
      </c>
      <c r="D10" s="101">
        <f>$E$4*'Stima delle rigidezze 1'!$B$10*'Stima delle rigidezze 1'!$D$4/('Stima delle rigidezze 1'!$C$4^3)</f>
        <v>97636.572258727931</v>
      </c>
      <c r="E10" s="325">
        <f>$E$4*'Stima delle rigidezze 1'!$B$10*'Stima delle rigidezze 1'!$D$4/('Stima delle rigidezze 1'!$C$4)</f>
        <v>1063262.2718975472</v>
      </c>
      <c r="F10" s="325">
        <f t="shared" si="1"/>
        <v>850541.08692515502</v>
      </c>
      <c r="G10" s="308">
        <f>$J$4*$C$10*$I$4/$H$4</f>
        <v>850541.08692515502</v>
      </c>
      <c r="H10" s="292">
        <f t="shared" si="2"/>
        <v>520.70500917296101</v>
      </c>
      <c r="J10" s="291">
        <f t="shared" si="0"/>
        <v>4</v>
      </c>
      <c r="K10" s="272">
        <v>13</v>
      </c>
      <c r="L10" s="304">
        <v>13</v>
      </c>
      <c r="M10" s="101">
        <f>$E$4*'Stima delle rigidezze 1'!$K$10*'Stima delle rigidezze 1'!$D$4/('Stima delle rigidezze 1'!$C$4^3)</f>
        <v>97636.572258727931</v>
      </c>
      <c r="N10" s="325">
        <f>$E$4*'Stima delle rigidezze 1'!$K$10*'Stima delle rigidezze 1'!$D$4/('Stima delle rigidezze 1'!$C$4)</f>
        <v>1063262.2718975472</v>
      </c>
      <c r="O10" s="325">
        <f t="shared" si="3"/>
        <v>737135.60866846761</v>
      </c>
      <c r="P10" s="325">
        <f t="shared" si="4"/>
        <v>737135.60866846761</v>
      </c>
      <c r="Q10" s="292">
        <f t="shared" ref="Q10:Q12" si="5">(12*M10*(1/(1+(0.5*(N10/O10+N10/P10)))))/1000</f>
        <v>479.70325824387425</v>
      </c>
    </row>
    <row r="11" spans="1:20" x14ac:dyDescent="0.25">
      <c r="A11" s="291">
        <f>'Dimens. Pilastro'!A7</f>
        <v>3</v>
      </c>
      <c r="B11" s="100"/>
      <c r="C11" s="303"/>
      <c r="D11" s="101">
        <f>$E$4*'Stima delle rigidezze 1'!$B$10*'Stima delle rigidezze 1'!$D$4/('Stima delle rigidezze 1'!$C$4^3)</f>
        <v>97636.572258727931</v>
      </c>
      <c r="E11" s="325">
        <f>$E$4*'Stima delle rigidezze 1'!$B$10*'Stima delle rigidezze 1'!$D$4/('Stima delle rigidezze 1'!$C$4)</f>
        <v>1063262.2718975472</v>
      </c>
      <c r="F11" s="325">
        <f>$J$4*$C$10*$I$4/$H$4</f>
        <v>850541.08692515502</v>
      </c>
      <c r="G11" s="272">
        <f>$J$4*$C$10*$I$4/$H$4</f>
        <v>850541.08692515502</v>
      </c>
      <c r="H11" s="292">
        <f t="shared" si="2"/>
        <v>520.70500917296101</v>
      </c>
      <c r="J11" s="291">
        <f t="shared" si="0"/>
        <v>3</v>
      </c>
      <c r="K11" s="100"/>
      <c r="L11" s="303"/>
      <c r="M11" s="101">
        <f>$E$4*'Stima delle rigidezze 1'!$K$10*'Stima delle rigidezze 1'!$D$4/('Stima delle rigidezze 1'!$C$4^3)</f>
        <v>97636.572258727931</v>
      </c>
      <c r="N11" s="325">
        <f>$E$4*'Stima delle rigidezze 1'!$K$10*'Stima delle rigidezze 1'!$D$4/('Stima delle rigidezze 1'!$C$4)</f>
        <v>1063262.2718975472</v>
      </c>
      <c r="O11" s="325">
        <f>$J$4*$L$10*$I$4/$H$4</f>
        <v>737135.60866846761</v>
      </c>
      <c r="P11" s="325">
        <f t="shared" si="4"/>
        <v>737135.60866846761</v>
      </c>
      <c r="Q11" s="292">
        <f t="shared" si="5"/>
        <v>479.70325824387425</v>
      </c>
    </row>
    <row r="12" spans="1:20" x14ac:dyDescent="0.25">
      <c r="A12" s="291">
        <f>'Dimens. Pilastro'!A8</f>
        <v>2</v>
      </c>
      <c r="B12" s="100"/>
      <c r="C12" s="303"/>
      <c r="D12" s="101">
        <f>$E$4*'Stima delle rigidezze 1'!$B$10*'Stima delle rigidezze 1'!$D$4/('Stima delle rigidezze 1'!$C$4^3)</f>
        <v>97636.572258727931</v>
      </c>
      <c r="E12" s="272">
        <f>$E$4*'Stima delle rigidezze 1'!$B$10*'Stima delle rigidezze 1'!$D$4/('Stima delle rigidezze 1'!$C$4)</f>
        <v>1063262.2718975472</v>
      </c>
      <c r="F12" s="272">
        <f>$J$4*$C$10*$I$4/$H$4</f>
        <v>850541.08692515502</v>
      </c>
      <c r="G12" s="272">
        <f t="shared" ref="G12" si="6">$J$4*$C$10*$I$4/$H$4</f>
        <v>850541.08692515502</v>
      </c>
      <c r="H12" s="292">
        <f t="shared" si="2"/>
        <v>520.70500917296101</v>
      </c>
      <c r="J12" s="291">
        <f t="shared" si="0"/>
        <v>2</v>
      </c>
      <c r="K12" s="100"/>
      <c r="L12" s="303"/>
      <c r="M12" s="101">
        <f>$E$4*'Stima delle rigidezze 1'!$K$10*'Stima delle rigidezze 1'!$D$4/('Stima delle rigidezze 1'!$C$4^3)</f>
        <v>97636.572258727931</v>
      </c>
      <c r="N12" s="264">
        <f>$E$4*'Stima delle rigidezze 1'!$K$10*'Stima delle rigidezze 1'!$D$4/('Stima delle rigidezze 1'!$C$4)</f>
        <v>1063262.2718975472</v>
      </c>
      <c r="O12" s="264">
        <f>$J$4*$L$10*$I$4/$H$4</f>
        <v>737135.60866846761</v>
      </c>
      <c r="P12" s="264">
        <f t="shared" si="4"/>
        <v>737135.60866846761</v>
      </c>
      <c r="Q12" s="292">
        <f t="shared" si="5"/>
        <v>479.70325824387425</v>
      </c>
    </row>
    <row r="13" spans="1:20" x14ac:dyDescent="0.25">
      <c r="A13" s="271">
        <f>'Dimens. Pilastro'!A9</f>
        <v>1</v>
      </c>
      <c r="B13" s="307"/>
      <c r="C13" s="305"/>
      <c r="D13" s="101">
        <f>$E$4*'Stima delle rigidezze 1'!$B$10*'Stima delle rigidezze 1'!$D$4/(('Stima delle rigidezze 1'!$C$4+'Dimens. Verifica'!G2)^3)</f>
        <v>63944.552727473136</v>
      </c>
      <c r="E13" s="272">
        <f>$E$4*'Stima delle rigidezze 1'!$B$10*'Stima delle rigidezze 1'!$D$4/('Stima delle rigidezze 1'!$C$4+'Dimens. Verifica'!G2)</f>
        <v>923359.34138471202</v>
      </c>
      <c r="F13" s="272">
        <f>$J$4*$C$10*$I$4/$H$4</f>
        <v>850541.08692515502</v>
      </c>
      <c r="G13" s="272">
        <v>0</v>
      </c>
      <c r="H13" s="292">
        <f>(12*D13*(1/(1+(0.5*(E13/F13+G13)))))/1000</f>
        <v>497.36267984525392</v>
      </c>
      <c r="J13" s="271">
        <f t="shared" si="0"/>
        <v>1</v>
      </c>
      <c r="K13" s="307"/>
      <c r="L13" s="305"/>
      <c r="M13" s="101">
        <f>$E$4*'Stima delle rigidezze 1'!$K$10*'Stima delle rigidezze 1'!$D$4/(('Stima delle rigidezze 1'!$C$4+'Dimens. Verifica'!G2)^3)</f>
        <v>63944.552727473136</v>
      </c>
      <c r="N13" s="264">
        <f>$E$4*'Stima delle rigidezze 1'!$K$10*'Stima delle rigidezze 1'!$D$4/('Stima delle rigidezze 1'!$C$4+'Dimens. Verifica'!G2)</f>
        <v>923359.34138471202</v>
      </c>
      <c r="O13" s="264">
        <f>$J$4*$L$10*$I$4/$H$4</f>
        <v>737135.60866846761</v>
      </c>
      <c r="P13" s="264">
        <v>0</v>
      </c>
      <c r="Q13" s="292">
        <f>(12*M13*(1/(1+(0.5*(N13/O13+P13)))))/1000</f>
        <v>471.82388420271445</v>
      </c>
    </row>
    <row r="14" spans="1:20" x14ac:dyDescent="0.25">
      <c r="A14" s="398" t="s">
        <v>377</v>
      </c>
      <c r="B14" s="399"/>
      <c r="C14" s="400"/>
      <c r="D14" s="301"/>
      <c r="E14" s="299"/>
      <c r="F14" s="299"/>
      <c r="G14" s="299"/>
      <c r="H14" s="300"/>
      <c r="J14" s="398" t="s">
        <v>377</v>
      </c>
      <c r="K14" s="399"/>
      <c r="L14" s="400"/>
      <c r="M14" s="301"/>
      <c r="N14" s="299"/>
      <c r="O14" s="299"/>
      <c r="P14" s="299"/>
      <c r="Q14" s="300"/>
    </row>
    <row r="18" spans="2:2" ht="58.5" customHeight="1" x14ac:dyDescent="0.25"/>
    <row r="21" spans="2:2" x14ac:dyDescent="0.25">
      <c r="B21" s="265"/>
    </row>
  </sheetData>
  <mergeCells count="8">
    <mergeCell ref="A1:J1"/>
    <mergeCell ref="K1:T1"/>
    <mergeCell ref="P2:T2"/>
    <mergeCell ref="J14:L14"/>
    <mergeCell ref="A14:C14"/>
    <mergeCell ref="A2:E2"/>
    <mergeCell ref="K2:O2"/>
    <mergeCell ref="F2:J2"/>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1"/>
  <sheetViews>
    <sheetView topLeftCell="U42" zoomScale="90" zoomScaleNormal="90" workbookViewId="0">
      <selection activeCell="AD61" sqref="AD61"/>
    </sheetView>
  </sheetViews>
  <sheetFormatPr defaultRowHeight="15" x14ac:dyDescent="0.25"/>
  <cols>
    <col min="1" max="1" width="10" bestFit="1" customWidth="1"/>
    <col min="2" max="2" width="9.5703125" bestFit="1" customWidth="1"/>
    <col min="3" max="3" width="8" bestFit="1" customWidth="1"/>
    <col min="4" max="4" width="9.28515625" bestFit="1" customWidth="1"/>
    <col min="5" max="5" width="11.5703125" bestFit="1" customWidth="1"/>
    <col min="6" max="6" width="10.28515625" customWidth="1"/>
    <col min="7" max="7" width="9.85546875" customWidth="1"/>
    <col min="8" max="8" width="9.28515625" customWidth="1"/>
    <col min="9" max="9" width="10.5703125" bestFit="1" customWidth="1"/>
  </cols>
  <sheetData>
    <row r="1" spans="1:23" ht="15.75" x14ac:dyDescent="0.25">
      <c r="A1" s="447" t="s">
        <v>362</v>
      </c>
      <c r="B1" s="447"/>
      <c r="C1" s="447"/>
      <c r="D1" s="447"/>
      <c r="E1" s="447"/>
      <c r="F1" s="447"/>
      <c r="G1" s="447"/>
      <c r="H1" s="447"/>
      <c r="I1" s="447"/>
      <c r="J1" s="447"/>
      <c r="K1" s="447"/>
      <c r="L1" s="447"/>
      <c r="M1" s="447"/>
      <c r="N1" s="447"/>
      <c r="O1" s="447"/>
      <c r="P1" s="447"/>
      <c r="Q1" s="447"/>
      <c r="R1" s="447"/>
      <c r="S1" s="447"/>
      <c r="T1" s="447"/>
      <c r="U1" s="447"/>
    </row>
    <row r="2" spans="1:23" ht="15.75" x14ac:dyDescent="0.25">
      <c r="A2" s="447" t="s">
        <v>337</v>
      </c>
      <c r="B2" s="447"/>
      <c r="C2" s="447"/>
      <c r="D2" s="447"/>
      <c r="E2" s="447"/>
      <c r="F2" s="447"/>
      <c r="G2" s="447"/>
      <c r="H2" s="447"/>
      <c r="I2" s="447"/>
      <c r="J2" s="447"/>
      <c r="K2" s="447"/>
      <c r="L2" s="447"/>
      <c r="M2" s="447"/>
      <c r="N2" s="447"/>
      <c r="O2" s="447"/>
      <c r="P2" s="447"/>
      <c r="Q2" s="447"/>
      <c r="R2" s="447"/>
      <c r="S2" s="447"/>
      <c r="T2" s="447"/>
      <c r="U2" s="447"/>
    </row>
    <row r="3" spans="1:23" ht="45" x14ac:dyDescent="0.25">
      <c r="A3" s="265" t="s">
        <v>326</v>
      </c>
      <c r="B3" s="265" t="s">
        <v>325</v>
      </c>
      <c r="C3" s="265" t="s">
        <v>324</v>
      </c>
      <c r="D3" s="265" t="s">
        <v>333</v>
      </c>
      <c r="E3" s="265" t="s">
        <v>332</v>
      </c>
      <c r="F3" s="152" t="s">
        <v>342</v>
      </c>
      <c r="G3" s="152" t="s">
        <v>343</v>
      </c>
      <c r="H3" s="265" t="s">
        <v>344</v>
      </c>
      <c r="I3" s="265" t="s">
        <v>344</v>
      </c>
      <c r="J3" s="265" t="s">
        <v>344</v>
      </c>
      <c r="K3" s="265" t="s">
        <v>344</v>
      </c>
      <c r="L3" s="265" t="s">
        <v>344</v>
      </c>
      <c r="M3" s="265" t="s">
        <v>344</v>
      </c>
      <c r="N3" s="265" t="s">
        <v>344</v>
      </c>
      <c r="O3" s="265" t="s">
        <v>344</v>
      </c>
      <c r="P3" s="265" t="s">
        <v>344</v>
      </c>
      <c r="Q3" s="265" t="s">
        <v>344</v>
      </c>
      <c r="R3" s="265" t="s">
        <v>344</v>
      </c>
      <c r="S3" s="265" t="s">
        <v>344</v>
      </c>
      <c r="T3" s="265" t="s">
        <v>344</v>
      </c>
      <c r="U3" s="265" t="s">
        <v>344</v>
      </c>
      <c r="V3" s="265"/>
      <c r="W3" s="265"/>
    </row>
    <row r="4" spans="1:23" ht="18.75" x14ac:dyDescent="0.25">
      <c r="A4" s="263">
        <v>1</v>
      </c>
      <c r="B4" s="265" t="s">
        <v>179</v>
      </c>
      <c r="C4" s="265" t="s">
        <v>330</v>
      </c>
      <c r="D4" s="265">
        <v>1</v>
      </c>
      <c r="E4" s="265" t="s">
        <v>334</v>
      </c>
      <c r="G4" s="265">
        <v>4.05</v>
      </c>
      <c r="H4" s="286" t="s">
        <v>345</v>
      </c>
      <c r="J4" s="286"/>
      <c r="K4" s="286"/>
      <c r="L4" s="286"/>
      <c r="M4" s="286"/>
      <c r="N4" s="286"/>
      <c r="O4" s="286"/>
      <c r="P4" s="286"/>
      <c r="Q4" s="286"/>
      <c r="R4" s="286"/>
      <c r="S4" s="286"/>
    </row>
    <row r="5" spans="1:23" ht="18.75" x14ac:dyDescent="0.25">
      <c r="A5" s="263">
        <v>2</v>
      </c>
      <c r="B5" s="265" t="s">
        <v>179</v>
      </c>
      <c r="C5" s="265" t="s">
        <v>330</v>
      </c>
      <c r="D5" s="265">
        <v>2</v>
      </c>
      <c r="E5" s="265" t="s">
        <v>334</v>
      </c>
      <c r="F5" s="265">
        <v>4.05</v>
      </c>
      <c r="G5" s="265">
        <v>4.55</v>
      </c>
      <c r="H5" s="286"/>
      <c r="I5" s="286" t="s">
        <v>15</v>
      </c>
      <c r="J5" s="286"/>
      <c r="K5" s="286"/>
      <c r="L5" s="286"/>
      <c r="M5" s="286"/>
      <c r="N5" s="286"/>
      <c r="O5" s="286"/>
      <c r="P5" s="286"/>
      <c r="Q5" s="286"/>
      <c r="R5" s="286"/>
      <c r="S5" s="286"/>
    </row>
    <row r="6" spans="1:23" ht="18.75" x14ac:dyDescent="0.25">
      <c r="A6" s="263">
        <v>3</v>
      </c>
      <c r="B6" s="265" t="s">
        <v>179</v>
      </c>
      <c r="C6" s="265" t="s">
        <v>330</v>
      </c>
      <c r="D6" s="278" t="s">
        <v>335</v>
      </c>
      <c r="E6" s="265" t="s">
        <v>336</v>
      </c>
      <c r="F6" s="265">
        <v>4.55</v>
      </c>
      <c r="G6" s="265">
        <v>3.95</v>
      </c>
      <c r="H6" s="286"/>
      <c r="J6" s="286"/>
      <c r="K6" s="286" t="s">
        <v>347</v>
      </c>
      <c r="L6" s="286"/>
      <c r="M6" s="286"/>
      <c r="N6" s="286"/>
      <c r="O6" s="286"/>
      <c r="P6" s="286"/>
      <c r="Q6" s="286"/>
      <c r="R6" s="286"/>
      <c r="S6" s="286"/>
    </row>
    <row r="7" spans="1:23" ht="18.75" x14ac:dyDescent="0.25">
      <c r="A7" s="263">
        <v>4</v>
      </c>
      <c r="B7" s="265" t="s">
        <v>329</v>
      </c>
      <c r="C7" s="265" t="s">
        <v>331</v>
      </c>
      <c r="D7" s="278" t="s">
        <v>335</v>
      </c>
      <c r="E7" s="265" t="s">
        <v>338</v>
      </c>
      <c r="F7" s="281">
        <v>3.95</v>
      </c>
      <c r="G7" s="281">
        <v>5.65</v>
      </c>
      <c r="H7" s="286"/>
      <c r="J7" s="286"/>
      <c r="K7" s="286"/>
      <c r="L7" s="286"/>
      <c r="M7" s="286" t="s">
        <v>0</v>
      </c>
      <c r="N7" s="286"/>
      <c r="O7" s="286"/>
      <c r="P7" s="286"/>
      <c r="Q7" s="286"/>
      <c r="R7" s="286"/>
      <c r="S7" s="286"/>
    </row>
    <row r="8" spans="1:23" ht="18.75" x14ac:dyDescent="0.25">
      <c r="A8" s="263">
        <v>5</v>
      </c>
      <c r="B8" s="265" t="s">
        <v>179</v>
      </c>
      <c r="C8" s="265" t="s">
        <v>330</v>
      </c>
      <c r="D8" s="278" t="s">
        <v>335</v>
      </c>
      <c r="E8" s="265" t="s">
        <v>336</v>
      </c>
      <c r="F8" s="281">
        <v>5.65</v>
      </c>
      <c r="G8" s="281">
        <v>5.3</v>
      </c>
      <c r="H8" s="286"/>
      <c r="J8" s="286"/>
      <c r="K8" s="286"/>
      <c r="L8" s="286" t="s">
        <v>334</v>
      </c>
      <c r="M8" s="286"/>
      <c r="N8" s="286"/>
      <c r="O8" s="286"/>
      <c r="P8" s="286"/>
      <c r="Q8" s="286"/>
      <c r="R8" s="286"/>
      <c r="S8" s="286"/>
    </row>
    <row r="9" spans="1:23" ht="18.75" x14ac:dyDescent="0.25">
      <c r="A9" s="263">
        <v>6</v>
      </c>
      <c r="B9" s="265" t="s">
        <v>179</v>
      </c>
      <c r="C9" s="265" t="s">
        <v>330</v>
      </c>
      <c r="D9" s="265">
        <v>1</v>
      </c>
      <c r="E9" s="265" t="s">
        <v>339</v>
      </c>
      <c r="F9" s="281">
        <v>5.3</v>
      </c>
      <c r="G9" s="313"/>
      <c r="H9" s="286"/>
      <c r="J9" s="286"/>
      <c r="K9" s="286"/>
      <c r="L9" s="286"/>
      <c r="M9" s="286"/>
      <c r="N9" s="286" t="s">
        <v>348</v>
      </c>
      <c r="O9" s="286"/>
      <c r="P9" s="286"/>
      <c r="Q9" s="286"/>
      <c r="R9" s="286"/>
      <c r="S9" s="286"/>
    </row>
    <row r="10" spans="1:23" ht="18.75" x14ac:dyDescent="0.25">
      <c r="A10" s="279">
        <v>7</v>
      </c>
      <c r="B10" s="265" t="s">
        <v>179</v>
      </c>
      <c r="C10" s="265" t="s">
        <v>330</v>
      </c>
      <c r="D10" s="265">
        <v>1</v>
      </c>
      <c r="E10" s="265" t="s">
        <v>334</v>
      </c>
      <c r="F10" s="313"/>
      <c r="G10" s="281">
        <v>4.05</v>
      </c>
      <c r="H10" s="286" t="s">
        <v>345</v>
      </c>
      <c r="J10" s="286"/>
      <c r="K10" s="286"/>
      <c r="L10" s="286"/>
      <c r="M10" s="286"/>
      <c r="N10" s="286"/>
      <c r="O10" s="286"/>
      <c r="P10" s="286"/>
      <c r="Q10" s="286"/>
      <c r="R10" s="286"/>
      <c r="S10" s="286"/>
    </row>
    <row r="11" spans="1:23" ht="18.75" x14ac:dyDescent="0.25">
      <c r="A11" s="279">
        <v>8</v>
      </c>
      <c r="B11" s="265" t="s">
        <v>329</v>
      </c>
      <c r="C11" s="265" t="s">
        <v>331</v>
      </c>
      <c r="D11" s="265">
        <v>2</v>
      </c>
      <c r="E11" s="265" t="s">
        <v>334</v>
      </c>
      <c r="F11" s="265">
        <v>4.05</v>
      </c>
      <c r="G11" s="265">
        <v>4.55</v>
      </c>
      <c r="H11" s="286"/>
      <c r="J11" s="286"/>
      <c r="K11" s="286"/>
      <c r="L11" s="286"/>
      <c r="M11" s="286"/>
      <c r="N11" s="286"/>
      <c r="O11" s="286" t="s">
        <v>349</v>
      </c>
      <c r="P11" s="286"/>
      <c r="Q11" s="286"/>
      <c r="R11" s="286"/>
      <c r="S11" s="286"/>
    </row>
    <row r="12" spans="1:23" ht="18.75" x14ac:dyDescent="0.25">
      <c r="A12" s="279">
        <v>9</v>
      </c>
      <c r="B12" s="265" t="s">
        <v>329</v>
      </c>
      <c r="C12" s="265" t="s">
        <v>331</v>
      </c>
      <c r="D12" s="278" t="s">
        <v>335</v>
      </c>
      <c r="E12" s="265" t="s">
        <v>336</v>
      </c>
      <c r="F12" s="265">
        <v>4.55</v>
      </c>
      <c r="G12" s="265">
        <v>3.95</v>
      </c>
      <c r="H12" s="286"/>
      <c r="J12" s="286"/>
      <c r="K12" s="286"/>
      <c r="L12" s="286"/>
      <c r="N12" s="286"/>
      <c r="O12" s="286"/>
      <c r="P12" s="286" t="s">
        <v>350</v>
      </c>
      <c r="Q12" s="286"/>
      <c r="R12" s="286"/>
      <c r="S12" s="286"/>
    </row>
    <row r="13" spans="1:23" ht="18.75" x14ac:dyDescent="0.25">
      <c r="A13" s="284">
        <v>10</v>
      </c>
      <c r="B13" s="284" t="s">
        <v>329</v>
      </c>
      <c r="C13" s="284" t="s">
        <v>331</v>
      </c>
      <c r="D13" s="288" t="s">
        <v>335</v>
      </c>
      <c r="E13" s="284" t="s">
        <v>338</v>
      </c>
      <c r="F13" s="284">
        <v>3.95</v>
      </c>
      <c r="G13" s="284">
        <v>5.65</v>
      </c>
      <c r="H13" s="289"/>
      <c r="I13" s="287"/>
      <c r="J13" s="289"/>
      <c r="K13" s="289"/>
      <c r="L13" s="289"/>
      <c r="M13" s="289" t="s">
        <v>0</v>
      </c>
      <c r="N13" s="289"/>
      <c r="O13" s="289"/>
      <c r="P13" s="289"/>
      <c r="Q13" s="289"/>
      <c r="R13" s="289"/>
      <c r="S13" s="289"/>
      <c r="T13" s="287"/>
      <c r="U13" s="287"/>
    </row>
    <row r="14" spans="1:23" ht="18.75" x14ac:dyDescent="0.25">
      <c r="A14" s="284">
        <v>11</v>
      </c>
      <c r="B14" s="284" t="s">
        <v>179</v>
      </c>
      <c r="C14" s="284" t="s">
        <v>330</v>
      </c>
      <c r="D14" s="288" t="s">
        <v>335</v>
      </c>
      <c r="E14" s="284" t="s">
        <v>336</v>
      </c>
      <c r="F14" s="284">
        <v>5.65</v>
      </c>
      <c r="G14" s="284">
        <v>5.3</v>
      </c>
      <c r="H14" s="289"/>
      <c r="I14" s="287"/>
      <c r="J14" s="289"/>
      <c r="K14" s="289"/>
      <c r="L14" s="289" t="s">
        <v>334</v>
      </c>
      <c r="M14" s="289"/>
      <c r="N14" s="289"/>
      <c r="O14" s="289"/>
      <c r="P14" s="289"/>
      <c r="Q14" s="289"/>
      <c r="R14" s="289"/>
      <c r="S14" s="289"/>
      <c r="T14" s="287"/>
      <c r="U14" s="287"/>
    </row>
    <row r="15" spans="1:23" ht="18.75" x14ac:dyDescent="0.25">
      <c r="A15" s="279">
        <v>12</v>
      </c>
      <c r="B15" s="265" t="s">
        <v>329</v>
      </c>
      <c r="C15" s="265" t="s">
        <v>331</v>
      </c>
      <c r="D15" s="265">
        <v>1</v>
      </c>
      <c r="E15" s="265" t="s">
        <v>339</v>
      </c>
      <c r="F15" s="265">
        <v>5.3</v>
      </c>
      <c r="H15" s="286"/>
      <c r="J15" s="286"/>
      <c r="K15" s="286"/>
      <c r="L15" s="286"/>
      <c r="M15" s="286"/>
      <c r="N15" s="286"/>
      <c r="O15" s="286"/>
      <c r="P15" s="286"/>
      <c r="Q15" s="286" t="s">
        <v>351</v>
      </c>
      <c r="R15" s="286"/>
      <c r="S15" s="286"/>
    </row>
    <row r="16" spans="1:23" ht="18.75" x14ac:dyDescent="0.25">
      <c r="A16" s="280">
        <v>13</v>
      </c>
      <c r="B16" s="265" t="s">
        <v>329</v>
      </c>
      <c r="C16" s="265" t="s">
        <v>331</v>
      </c>
      <c r="D16" s="265">
        <v>1</v>
      </c>
      <c r="E16" s="265" t="s">
        <v>334</v>
      </c>
      <c r="G16" s="265">
        <v>4.05</v>
      </c>
      <c r="H16" s="286"/>
      <c r="J16" s="286"/>
      <c r="K16" s="286"/>
      <c r="L16" s="286"/>
      <c r="M16" s="286"/>
      <c r="N16" s="286"/>
      <c r="O16" s="286"/>
      <c r="P16" s="286"/>
      <c r="Q16" s="286"/>
      <c r="R16" s="286" t="s">
        <v>327</v>
      </c>
      <c r="S16" s="286"/>
    </row>
    <row r="17" spans="1:21" ht="18.75" x14ac:dyDescent="0.25">
      <c r="A17" s="280">
        <v>14</v>
      </c>
      <c r="B17" s="265" t="s">
        <v>179</v>
      </c>
      <c r="C17" s="265" t="s">
        <v>330</v>
      </c>
      <c r="D17" s="278" t="s">
        <v>335</v>
      </c>
      <c r="E17" s="265" t="s">
        <v>336</v>
      </c>
      <c r="F17" s="265">
        <v>4.05</v>
      </c>
      <c r="G17" s="265">
        <v>4.55</v>
      </c>
      <c r="H17" s="286"/>
      <c r="J17" s="286"/>
      <c r="K17" s="286" t="s">
        <v>347</v>
      </c>
      <c r="L17" s="286"/>
      <c r="M17" s="286"/>
      <c r="N17" s="286"/>
      <c r="O17" s="286"/>
      <c r="P17" s="286"/>
      <c r="Q17" s="286"/>
      <c r="R17" s="286"/>
      <c r="T17" s="286"/>
    </row>
    <row r="18" spans="1:21" ht="18.75" x14ac:dyDescent="0.25">
      <c r="A18" s="280">
        <v>15</v>
      </c>
      <c r="B18" s="265" t="s">
        <v>179</v>
      </c>
      <c r="C18" s="265" t="s">
        <v>330</v>
      </c>
      <c r="D18" s="278" t="s">
        <v>335</v>
      </c>
      <c r="E18" s="265" t="s">
        <v>338</v>
      </c>
      <c r="F18" s="265">
        <v>4.55</v>
      </c>
      <c r="G18" s="265">
        <v>3.95</v>
      </c>
      <c r="H18" s="286"/>
      <c r="J18" s="286"/>
      <c r="K18" s="286"/>
      <c r="L18" s="286"/>
      <c r="M18" s="286"/>
      <c r="N18" s="286"/>
      <c r="O18" s="286"/>
      <c r="P18" s="286"/>
      <c r="Q18" s="286"/>
      <c r="R18" s="286"/>
      <c r="T18" s="286"/>
      <c r="U18" s="286" t="s">
        <v>354</v>
      </c>
    </row>
    <row r="19" spans="1:21" ht="18.75" x14ac:dyDescent="0.25">
      <c r="A19" s="284">
        <v>16</v>
      </c>
      <c r="B19" s="284" t="s">
        <v>329</v>
      </c>
      <c r="C19" s="284" t="s">
        <v>331</v>
      </c>
      <c r="D19" s="284">
        <v>1</v>
      </c>
      <c r="E19" s="284" t="s">
        <v>334</v>
      </c>
      <c r="F19" s="284">
        <v>3.95</v>
      </c>
      <c r="G19" s="287"/>
      <c r="H19" s="289"/>
      <c r="I19" s="287"/>
      <c r="J19" s="289"/>
      <c r="K19" s="289"/>
      <c r="L19" s="289"/>
      <c r="M19" s="289"/>
      <c r="N19" s="289"/>
      <c r="O19" s="289"/>
      <c r="P19" s="289"/>
      <c r="Q19" s="289"/>
      <c r="R19" s="289" t="s">
        <v>327</v>
      </c>
      <c r="S19" s="287"/>
      <c r="T19" s="289"/>
      <c r="U19" s="287"/>
    </row>
    <row r="20" spans="1:21" ht="18.75" x14ac:dyDescent="0.25">
      <c r="A20" s="284">
        <v>17</v>
      </c>
      <c r="B20" s="284" t="s">
        <v>179</v>
      </c>
      <c r="C20" s="284" t="s">
        <v>330</v>
      </c>
      <c r="D20" s="284" t="s">
        <v>340</v>
      </c>
      <c r="E20" s="284" t="s">
        <v>341</v>
      </c>
      <c r="F20" s="284">
        <v>1.55</v>
      </c>
      <c r="G20" s="284">
        <v>4.0999999999999996</v>
      </c>
      <c r="H20" s="289"/>
      <c r="I20" s="287"/>
      <c r="J20" s="289"/>
      <c r="K20" s="289"/>
      <c r="L20" s="289"/>
      <c r="M20" s="289"/>
      <c r="N20" s="289"/>
      <c r="O20" s="289"/>
      <c r="P20" s="289"/>
      <c r="Q20" s="289"/>
      <c r="R20" s="289"/>
      <c r="S20" s="287"/>
      <c r="T20" s="289" t="s">
        <v>353</v>
      </c>
      <c r="U20" s="287"/>
    </row>
    <row r="21" spans="1:21" ht="18.75" x14ac:dyDescent="0.25">
      <c r="A21" s="284">
        <v>18</v>
      </c>
      <c r="B21" s="284" t="s">
        <v>179</v>
      </c>
      <c r="C21" s="284" t="s">
        <v>330</v>
      </c>
      <c r="D21" s="284">
        <v>2</v>
      </c>
      <c r="E21" s="284" t="s">
        <v>334</v>
      </c>
      <c r="F21" s="284">
        <v>4.0999999999999996</v>
      </c>
      <c r="G21" s="284">
        <v>5.3</v>
      </c>
      <c r="H21" s="289"/>
      <c r="I21" s="287"/>
      <c r="J21" s="289" t="s">
        <v>346</v>
      </c>
      <c r="K21" s="289"/>
      <c r="L21" s="289"/>
      <c r="M21" s="289"/>
      <c r="N21" s="289"/>
      <c r="O21" s="289"/>
      <c r="P21" s="289"/>
      <c r="Q21" s="289"/>
      <c r="R21" s="289"/>
      <c r="S21" s="287"/>
      <c r="T21" s="289"/>
      <c r="U21" s="287"/>
    </row>
    <row r="22" spans="1:21" ht="18.75" x14ac:dyDescent="0.25">
      <c r="A22" s="282">
        <v>19</v>
      </c>
      <c r="B22" s="265" t="s">
        <v>329</v>
      </c>
      <c r="C22" s="265" t="s">
        <v>331</v>
      </c>
      <c r="D22" s="265">
        <v>1</v>
      </c>
      <c r="E22" s="265" t="s">
        <v>334</v>
      </c>
      <c r="F22" s="281">
        <v>5.3</v>
      </c>
      <c r="G22" s="313"/>
      <c r="H22" s="286"/>
      <c r="J22" s="286"/>
      <c r="K22" s="286"/>
      <c r="L22" s="286"/>
      <c r="M22" s="286"/>
      <c r="N22" s="286"/>
      <c r="O22" s="286"/>
      <c r="P22" s="286"/>
      <c r="Q22" s="286"/>
      <c r="S22" s="286" t="s">
        <v>352</v>
      </c>
    </row>
    <row r="23" spans="1:21" ht="18.75" x14ac:dyDescent="0.25">
      <c r="A23" s="284">
        <v>20</v>
      </c>
      <c r="B23" s="265" t="s">
        <v>329</v>
      </c>
      <c r="C23" s="265" t="s">
        <v>331</v>
      </c>
      <c r="D23" s="265">
        <v>1</v>
      </c>
      <c r="E23" s="265" t="s">
        <v>334</v>
      </c>
      <c r="F23" s="313"/>
      <c r="G23" s="281">
        <v>4.0999999999999996</v>
      </c>
      <c r="H23" s="286"/>
      <c r="J23" s="286"/>
      <c r="K23" s="286"/>
      <c r="L23" s="286"/>
      <c r="M23" s="286"/>
      <c r="N23" s="286"/>
      <c r="O23" s="286"/>
      <c r="P23" s="286"/>
      <c r="Q23" s="286"/>
      <c r="R23" s="286" t="s">
        <v>327</v>
      </c>
      <c r="S23" s="286"/>
    </row>
    <row r="24" spans="1:21" ht="18.75" x14ac:dyDescent="0.25">
      <c r="A24" s="284">
        <v>21</v>
      </c>
      <c r="B24" s="265" t="s">
        <v>179</v>
      </c>
      <c r="C24" s="265" t="s">
        <v>330</v>
      </c>
      <c r="D24" s="265">
        <v>2</v>
      </c>
      <c r="E24" s="265" t="s">
        <v>334</v>
      </c>
      <c r="F24" s="281">
        <v>4.0999999999999996</v>
      </c>
      <c r="G24" s="281">
        <v>5.3</v>
      </c>
      <c r="H24" s="286"/>
      <c r="J24" s="286" t="s">
        <v>346</v>
      </c>
      <c r="K24" s="286"/>
      <c r="L24" s="286"/>
      <c r="M24" s="286"/>
      <c r="N24" s="286"/>
      <c r="O24" s="286"/>
      <c r="P24" s="286"/>
      <c r="Q24" s="286"/>
      <c r="R24" s="286"/>
      <c r="S24" s="286"/>
    </row>
    <row r="25" spans="1:21" ht="18.75" x14ac:dyDescent="0.25">
      <c r="A25" s="284">
        <v>22</v>
      </c>
      <c r="B25" s="265" t="s">
        <v>329</v>
      </c>
      <c r="C25" s="265" t="s">
        <v>331</v>
      </c>
      <c r="D25" s="265">
        <v>1</v>
      </c>
      <c r="E25" s="265" t="s">
        <v>334</v>
      </c>
      <c r="F25" s="281">
        <v>5.3</v>
      </c>
      <c r="G25" s="313"/>
      <c r="H25" s="286"/>
      <c r="J25" s="286"/>
      <c r="K25" s="286"/>
      <c r="L25" s="286"/>
      <c r="M25" s="286"/>
      <c r="N25" s="286"/>
      <c r="O25" s="286"/>
      <c r="P25" s="286"/>
      <c r="Q25" s="286"/>
      <c r="S25" s="286" t="s">
        <v>352</v>
      </c>
    </row>
    <row r="26" spans="1:21" ht="18.75" x14ac:dyDescent="0.25">
      <c r="A26" s="283">
        <v>23</v>
      </c>
      <c r="B26" s="265" t="s">
        <v>329</v>
      </c>
      <c r="C26" s="265" t="s">
        <v>331</v>
      </c>
      <c r="D26" s="265">
        <v>1</v>
      </c>
      <c r="E26" s="265" t="s">
        <v>334</v>
      </c>
      <c r="F26" s="313"/>
      <c r="G26" s="281">
        <v>4.0999999999999996</v>
      </c>
      <c r="H26" s="286"/>
      <c r="J26" s="286"/>
      <c r="K26" s="286"/>
      <c r="L26" s="286"/>
      <c r="M26" s="286"/>
      <c r="N26" s="286"/>
      <c r="O26" s="286"/>
      <c r="P26" s="286"/>
      <c r="Q26" s="286"/>
      <c r="R26" s="286" t="s">
        <v>327</v>
      </c>
      <c r="S26" s="286"/>
    </row>
    <row r="27" spans="1:21" ht="18.75" x14ac:dyDescent="0.25">
      <c r="A27" s="283">
        <v>24</v>
      </c>
      <c r="B27" s="265" t="s">
        <v>179</v>
      </c>
      <c r="C27" s="265" t="s">
        <v>330</v>
      </c>
      <c r="D27" s="265">
        <v>2</v>
      </c>
      <c r="E27" s="265" t="s">
        <v>334</v>
      </c>
      <c r="F27" s="281">
        <v>4.0999999999999996</v>
      </c>
      <c r="G27" s="281">
        <v>5.3</v>
      </c>
      <c r="H27" s="286"/>
      <c r="J27" s="286" t="s">
        <v>346</v>
      </c>
      <c r="K27" s="286"/>
      <c r="L27" s="286"/>
      <c r="M27" s="286"/>
      <c r="N27" s="286"/>
      <c r="O27" s="286"/>
      <c r="P27" s="286"/>
      <c r="Q27" s="286"/>
      <c r="R27" s="286"/>
      <c r="S27" s="286"/>
    </row>
    <row r="28" spans="1:21" ht="18.75" x14ac:dyDescent="0.25">
      <c r="A28" s="283">
        <v>25</v>
      </c>
      <c r="B28" s="265" t="s">
        <v>329</v>
      </c>
      <c r="C28" s="265" t="s">
        <v>331</v>
      </c>
      <c r="D28" s="265">
        <v>1</v>
      </c>
      <c r="E28" s="265" t="s">
        <v>334</v>
      </c>
      <c r="F28" s="281">
        <v>5.3</v>
      </c>
      <c r="G28" s="313"/>
      <c r="H28" s="286"/>
      <c r="J28" s="286"/>
      <c r="K28" s="286"/>
      <c r="L28" s="286"/>
      <c r="M28" s="286"/>
      <c r="N28" s="286"/>
      <c r="O28" s="286"/>
      <c r="P28" s="286"/>
      <c r="Q28" s="286"/>
      <c r="S28" s="286" t="s">
        <v>352</v>
      </c>
    </row>
    <row r="29" spans="1:21" ht="18.75" x14ac:dyDescent="0.25">
      <c r="A29" s="285">
        <v>26</v>
      </c>
      <c r="B29" s="265" t="s">
        <v>329</v>
      </c>
      <c r="C29" s="265" t="s">
        <v>331</v>
      </c>
      <c r="D29" s="265">
        <v>1</v>
      </c>
      <c r="E29" s="265" t="s">
        <v>334</v>
      </c>
      <c r="F29" s="313"/>
      <c r="G29" s="281">
        <v>4.4000000000000004</v>
      </c>
      <c r="H29" s="317"/>
      <c r="J29" s="286"/>
      <c r="K29" s="286"/>
      <c r="L29" s="286"/>
      <c r="M29" s="286"/>
      <c r="N29" s="286"/>
      <c r="O29" s="286"/>
      <c r="P29" s="286"/>
      <c r="Q29" s="286"/>
      <c r="R29" s="286" t="s">
        <v>327</v>
      </c>
      <c r="S29" s="286"/>
    </row>
    <row r="30" spans="1:21" ht="18.75" x14ac:dyDescent="0.25">
      <c r="A30" s="285">
        <v>27</v>
      </c>
      <c r="B30" s="265" t="s">
        <v>179</v>
      </c>
      <c r="C30" s="265" t="s">
        <v>330</v>
      </c>
      <c r="D30" s="265">
        <v>2</v>
      </c>
      <c r="E30" s="265" t="s">
        <v>334</v>
      </c>
      <c r="F30" s="281">
        <v>4.4000000000000004</v>
      </c>
      <c r="G30" s="281">
        <v>5.3</v>
      </c>
      <c r="H30" s="316"/>
      <c r="I30" s="317"/>
      <c r="J30" s="286" t="s">
        <v>346</v>
      </c>
      <c r="K30" s="286"/>
      <c r="L30" s="286"/>
      <c r="M30" s="286"/>
      <c r="N30" s="286"/>
      <c r="O30" s="286"/>
      <c r="P30" s="286"/>
      <c r="Q30" s="286"/>
      <c r="R30" s="286"/>
      <c r="S30" s="286"/>
    </row>
    <row r="31" spans="1:21" ht="18.75" x14ac:dyDescent="0.25">
      <c r="A31" s="285">
        <v>28</v>
      </c>
      <c r="B31" s="265" t="s">
        <v>329</v>
      </c>
      <c r="C31" s="265" t="s">
        <v>331</v>
      </c>
      <c r="D31" s="265">
        <v>1</v>
      </c>
      <c r="E31" s="265" t="s">
        <v>334</v>
      </c>
      <c r="F31" s="281">
        <v>5.3</v>
      </c>
      <c r="G31" s="313"/>
      <c r="H31" s="286"/>
      <c r="I31" s="316"/>
      <c r="J31" s="286"/>
      <c r="K31" s="286"/>
      <c r="L31" s="286"/>
      <c r="M31" s="286"/>
      <c r="N31" s="286"/>
      <c r="O31" s="286"/>
      <c r="P31" s="286"/>
      <c r="Q31" s="286"/>
      <c r="S31" s="286" t="s">
        <v>352</v>
      </c>
      <c r="U31" s="286"/>
    </row>
    <row r="32" spans="1:21" ht="18.75" x14ac:dyDescent="0.25">
      <c r="A32" s="286"/>
    </row>
    <row r="39" spans="1:49" x14ac:dyDescent="0.25">
      <c r="AK39" s="318" t="s">
        <v>0</v>
      </c>
      <c r="AL39">
        <v>9.15</v>
      </c>
      <c r="AM39">
        <f>AL39</f>
        <v>9.15</v>
      </c>
    </row>
    <row r="40" spans="1:49" x14ac:dyDescent="0.25">
      <c r="AK40" s="318" t="s">
        <v>334</v>
      </c>
      <c r="AL40">
        <v>17.21</v>
      </c>
      <c r="AM40">
        <f t="shared" ref="AM40:AM43" si="0">AL40</f>
        <v>17.21</v>
      </c>
    </row>
    <row r="41" spans="1:49" x14ac:dyDescent="0.25">
      <c r="AK41" s="318" t="s">
        <v>327</v>
      </c>
      <c r="AL41">
        <v>9.44</v>
      </c>
      <c r="AM41">
        <f t="shared" si="0"/>
        <v>9.44</v>
      </c>
    </row>
    <row r="42" spans="1:49" x14ac:dyDescent="0.25">
      <c r="AK42" s="318" t="s">
        <v>353</v>
      </c>
      <c r="AL42">
        <v>19.04</v>
      </c>
      <c r="AM42">
        <f t="shared" si="0"/>
        <v>19.04</v>
      </c>
    </row>
    <row r="43" spans="1:49" x14ac:dyDescent="0.25">
      <c r="A43" s="313"/>
      <c r="B43" s="313"/>
      <c r="C43" s="313"/>
      <c r="D43" s="313"/>
      <c r="E43" s="313"/>
      <c r="F43" s="313"/>
      <c r="G43" s="313"/>
      <c r="H43" s="313"/>
      <c r="I43" s="313"/>
      <c r="AK43" s="318" t="s">
        <v>346</v>
      </c>
      <c r="AL43">
        <v>26.58</v>
      </c>
      <c r="AM43">
        <f t="shared" si="0"/>
        <v>26.58</v>
      </c>
    </row>
    <row r="44" spans="1:49" x14ac:dyDescent="0.25">
      <c r="A44" s="458" t="s">
        <v>358</v>
      </c>
      <c r="B44" s="458"/>
      <c r="C44" s="458"/>
      <c r="D44" s="458"/>
      <c r="E44" s="458"/>
      <c r="F44" s="458"/>
      <c r="G44" s="458"/>
      <c r="H44" s="458"/>
      <c r="I44" s="458"/>
      <c r="K44" s="411" t="s">
        <v>466</v>
      </c>
      <c r="L44" s="411"/>
      <c r="M44" s="411"/>
      <c r="N44" s="411"/>
      <c r="O44" s="411"/>
      <c r="P44" s="411"/>
      <c r="Q44" s="411"/>
      <c r="R44" s="411"/>
      <c r="S44" s="411"/>
      <c r="U44" s="411" t="s">
        <v>487</v>
      </c>
      <c r="V44" s="411"/>
      <c r="W44" s="411"/>
      <c r="X44" s="411"/>
      <c r="Y44" s="411"/>
      <c r="Z44" s="411"/>
      <c r="AA44" s="411"/>
      <c r="AB44" s="411"/>
      <c r="AC44" s="411"/>
      <c r="AE44" s="411" t="s">
        <v>357</v>
      </c>
      <c r="AF44" s="411"/>
      <c r="AG44" s="411"/>
      <c r="AH44" s="411"/>
      <c r="AI44" s="411"/>
      <c r="AJ44" s="411"/>
      <c r="AK44" s="411"/>
      <c r="AL44" s="411"/>
      <c r="AM44" s="411"/>
      <c r="AO44" s="397" t="s">
        <v>2</v>
      </c>
      <c r="AP44" s="397"/>
      <c r="AQ44" s="397"/>
      <c r="AR44" s="397"/>
      <c r="AS44" s="397"/>
      <c r="AT44" s="397"/>
      <c r="AU44" s="397"/>
      <c r="AV44" s="397"/>
      <c r="AW44" s="397"/>
    </row>
    <row r="45" spans="1:49" ht="45" x14ac:dyDescent="0.25">
      <c r="A45" s="281" t="s">
        <v>344</v>
      </c>
      <c r="B45" s="281" t="s">
        <v>324</v>
      </c>
      <c r="C45" s="281" t="s">
        <v>333</v>
      </c>
      <c r="D45" s="281" t="s">
        <v>332</v>
      </c>
      <c r="E45" s="347" t="s">
        <v>360</v>
      </c>
      <c r="F45" s="347" t="s">
        <v>355</v>
      </c>
      <c r="G45" s="347" t="s">
        <v>356</v>
      </c>
      <c r="H45" s="347" t="s">
        <v>359</v>
      </c>
      <c r="I45" s="347" t="s">
        <v>359</v>
      </c>
      <c r="K45" s="265" t="s">
        <v>344</v>
      </c>
      <c r="L45" s="265" t="s">
        <v>324</v>
      </c>
      <c r="M45" s="265" t="s">
        <v>333</v>
      </c>
      <c r="N45" s="265" t="s">
        <v>332</v>
      </c>
      <c r="O45" s="152" t="s">
        <v>360</v>
      </c>
      <c r="P45" s="152" t="s">
        <v>355</v>
      </c>
      <c r="Q45" s="152" t="s">
        <v>356</v>
      </c>
      <c r="R45" s="152" t="s">
        <v>359</v>
      </c>
      <c r="S45" s="152" t="s">
        <v>359</v>
      </c>
      <c r="U45" s="370" t="s">
        <v>344</v>
      </c>
      <c r="V45" s="370" t="s">
        <v>324</v>
      </c>
      <c r="W45" s="370" t="s">
        <v>333</v>
      </c>
      <c r="X45" s="370" t="s">
        <v>332</v>
      </c>
      <c r="Y45" s="372" t="s">
        <v>360</v>
      </c>
      <c r="Z45" s="372" t="s">
        <v>355</v>
      </c>
      <c r="AA45" s="372" t="s">
        <v>356</v>
      </c>
      <c r="AB45" s="372" t="s">
        <v>359</v>
      </c>
      <c r="AC45" s="372" t="s">
        <v>359</v>
      </c>
      <c r="AE45" s="309" t="s">
        <v>344</v>
      </c>
      <c r="AF45" s="309" t="s">
        <v>324</v>
      </c>
      <c r="AG45" s="309" t="s">
        <v>333</v>
      </c>
      <c r="AH45" s="309" t="s">
        <v>332</v>
      </c>
      <c r="AI45" s="152" t="s">
        <v>360</v>
      </c>
      <c r="AJ45" s="152" t="s">
        <v>355</v>
      </c>
      <c r="AK45" s="152" t="s">
        <v>356</v>
      </c>
      <c r="AL45" s="152" t="s">
        <v>359</v>
      </c>
      <c r="AM45" s="152" t="s">
        <v>359</v>
      </c>
      <c r="AO45" s="265" t="s">
        <v>344</v>
      </c>
      <c r="AP45" s="265" t="s">
        <v>324</v>
      </c>
      <c r="AQ45" s="265" t="s">
        <v>333</v>
      </c>
      <c r="AR45" s="265" t="s">
        <v>332</v>
      </c>
      <c r="AS45" s="152" t="s">
        <v>360</v>
      </c>
      <c r="AT45" s="152" t="s">
        <v>355</v>
      </c>
      <c r="AU45" s="152" t="s">
        <v>356</v>
      </c>
      <c r="AV45" s="152" t="s">
        <v>359</v>
      </c>
      <c r="AW45" s="152" t="s">
        <v>359</v>
      </c>
    </row>
    <row r="46" spans="1:49" x14ac:dyDescent="0.25">
      <c r="A46" s="281" t="s">
        <v>345</v>
      </c>
      <c r="B46" s="281" t="s">
        <v>361</v>
      </c>
      <c r="C46" s="281">
        <v>1</v>
      </c>
      <c r="D46" s="281" t="s">
        <v>334</v>
      </c>
      <c r="E46" s="281">
        <v>2</v>
      </c>
      <c r="F46" s="281">
        <f>AVERAGE($G$4,$G$10)</f>
        <v>4.05</v>
      </c>
      <c r="G46" s="281"/>
      <c r="H46" s="313">
        <v>33.07</v>
      </c>
      <c r="I46" s="313">
        <f>H46*E46</f>
        <v>66.14</v>
      </c>
      <c r="K46" s="265" t="s">
        <v>345</v>
      </c>
      <c r="L46" s="309" t="s">
        <v>361</v>
      </c>
      <c r="M46" s="265">
        <v>1</v>
      </c>
      <c r="N46" s="265" t="s">
        <v>334</v>
      </c>
      <c r="O46" s="265">
        <v>2</v>
      </c>
      <c r="P46" s="265">
        <f>AVERAGE($G$4,$G$10)</f>
        <v>4.05</v>
      </c>
      <c r="Q46" s="265"/>
      <c r="R46">
        <v>26.11</v>
      </c>
      <c r="S46">
        <f>R46*O46</f>
        <v>52.22</v>
      </c>
      <c r="U46" s="370" t="s">
        <v>345</v>
      </c>
      <c r="V46" s="370" t="s">
        <v>361</v>
      </c>
      <c r="W46" s="370">
        <v>1</v>
      </c>
      <c r="X46" s="370" t="s">
        <v>334</v>
      </c>
      <c r="Y46" s="370">
        <v>2</v>
      </c>
      <c r="Z46" s="370">
        <f>AVERAGE($G$4,$G$10)</f>
        <v>4.05</v>
      </c>
      <c r="AA46" s="370"/>
      <c r="AB46">
        <v>26.11</v>
      </c>
      <c r="AC46">
        <f>AB46*Y46</f>
        <v>52.22</v>
      </c>
      <c r="AE46" s="309" t="s">
        <v>345</v>
      </c>
      <c r="AF46" s="309" t="s">
        <v>398</v>
      </c>
      <c r="AG46" s="309">
        <v>1</v>
      </c>
      <c r="AH46" s="309" t="s">
        <v>334</v>
      </c>
      <c r="AI46" s="309">
        <v>2</v>
      </c>
      <c r="AJ46" s="309">
        <f>AVERAGE($G$4,$G$10)</f>
        <v>4.05</v>
      </c>
      <c r="AK46" s="309"/>
      <c r="AL46">
        <v>23.86</v>
      </c>
      <c r="AM46">
        <f>AL46*AI46</f>
        <v>47.72</v>
      </c>
      <c r="AO46" s="265" t="s">
        <v>0</v>
      </c>
      <c r="AP46" s="281" t="s">
        <v>397</v>
      </c>
      <c r="AQ46" s="265">
        <v>1</v>
      </c>
      <c r="AR46" s="265" t="s">
        <v>334</v>
      </c>
      <c r="AS46" s="265">
        <v>1</v>
      </c>
      <c r="AT46" s="265"/>
      <c r="AU46" s="265">
        <f>G13</f>
        <v>5.65</v>
      </c>
      <c r="AV46" s="265">
        <v>8.7100000000000009</v>
      </c>
      <c r="AW46" s="265">
        <f>AV46*AS46</f>
        <v>8.7100000000000009</v>
      </c>
    </row>
    <row r="47" spans="1:49" x14ac:dyDescent="0.25">
      <c r="A47" s="281" t="s">
        <v>15</v>
      </c>
      <c r="B47" s="281" t="s">
        <v>361</v>
      </c>
      <c r="C47" s="281">
        <v>2</v>
      </c>
      <c r="D47" s="281" t="s">
        <v>334</v>
      </c>
      <c r="E47" s="281">
        <v>1</v>
      </c>
      <c r="F47" s="281">
        <f>$F$5</f>
        <v>4.05</v>
      </c>
      <c r="G47" s="281">
        <f>$G$5</f>
        <v>4.55</v>
      </c>
      <c r="H47" s="313">
        <v>40.06</v>
      </c>
      <c r="I47" s="313">
        <f t="shared" ref="I47:I59" si="1">H47*E47</f>
        <v>40.06</v>
      </c>
      <c r="K47" s="265" t="s">
        <v>15</v>
      </c>
      <c r="L47" s="309" t="s">
        <v>361</v>
      </c>
      <c r="M47" s="265">
        <v>2</v>
      </c>
      <c r="N47" s="265" t="s">
        <v>334</v>
      </c>
      <c r="O47" s="265">
        <v>1</v>
      </c>
      <c r="P47" s="265">
        <f>$F$5</f>
        <v>4.05</v>
      </c>
      <c r="Q47" s="265">
        <f>$G$5</f>
        <v>4.55</v>
      </c>
      <c r="R47">
        <v>39.24</v>
      </c>
      <c r="S47">
        <f t="shared" ref="S47:S59" si="2">R47*O47</f>
        <v>39.24</v>
      </c>
      <c r="U47" s="349" t="s">
        <v>15</v>
      </c>
      <c r="V47" s="370" t="s">
        <v>361</v>
      </c>
      <c r="W47" s="370">
        <v>2</v>
      </c>
      <c r="X47" s="370" t="s">
        <v>334</v>
      </c>
      <c r="Y47" s="370">
        <v>1</v>
      </c>
      <c r="Z47" s="370">
        <f>$F$5</f>
        <v>4.05</v>
      </c>
      <c r="AA47" s="370">
        <f>$G$5</f>
        <v>4.55</v>
      </c>
      <c r="AB47">
        <v>39.24</v>
      </c>
      <c r="AC47">
        <f t="shared" ref="AC47:AC59" si="3">AB47*Y47</f>
        <v>39.24</v>
      </c>
      <c r="AE47" s="309" t="s">
        <v>15</v>
      </c>
      <c r="AF47" s="309" t="s">
        <v>398</v>
      </c>
      <c r="AG47" s="309">
        <v>2</v>
      </c>
      <c r="AH47" s="309" t="s">
        <v>334</v>
      </c>
      <c r="AI47" s="309">
        <v>1</v>
      </c>
      <c r="AJ47" s="309">
        <f>$F$5</f>
        <v>4.05</v>
      </c>
      <c r="AK47" s="309">
        <f>$G$5</f>
        <v>4.55</v>
      </c>
      <c r="AL47">
        <v>32.799999999999997</v>
      </c>
      <c r="AM47">
        <f t="shared" ref="AM47:AM59" si="4">AL47*AI47</f>
        <v>32.799999999999997</v>
      </c>
      <c r="AO47" s="265" t="s">
        <v>334</v>
      </c>
      <c r="AP47" s="281" t="s">
        <v>398</v>
      </c>
      <c r="AQ47" s="265">
        <v>1</v>
      </c>
      <c r="AR47" s="265" t="s">
        <v>334</v>
      </c>
      <c r="AS47" s="265">
        <v>1</v>
      </c>
      <c r="AT47" s="265">
        <f>F14</f>
        <v>5.65</v>
      </c>
      <c r="AU47" s="265"/>
      <c r="AV47" s="265">
        <v>16.53</v>
      </c>
      <c r="AW47" s="265">
        <f t="shared" ref="AW47:AW50" si="5">AV47*AS47</f>
        <v>16.53</v>
      </c>
    </row>
    <row r="48" spans="1:49" x14ac:dyDescent="0.25">
      <c r="A48" s="281" t="s">
        <v>346</v>
      </c>
      <c r="B48" s="281" t="s">
        <v>361</v>
      </c>
      <c r="C48" s="281">
        <v>2</v>
      </c>
      <c r="D48" s="281" t="s">
        <v>334</v>
      </c>
      <c r="E48" s="281">
        <v>4</v>
      </c>
      <c r="F48" s="281">
        <f>AVERAGE($F$21,$F$24,$F$27,$F$30)</f>
        <v>4.1749999999999998</v>
      </c>
      <c r="G48" s="281">
        <f>AVERAGE($G$21,$G$24,$G$27,$G$30)</f>
        <v>5.3</v>
      </c>
      <c r="H48" s="313">
        <v>39.119999999999997</v>
      </c>
      <c r="I48" s="313">
        <f t="shared" si="1"/>
        <v>156.47999999999999</v>
      </c>
      <c r="K48" s="281" t="s">
        <v>346</v>
      </c>
      <c r="L48" s="281" t="s">
        <v>361</v>
      </c>
      <c r="M48" s="265">
        <v>2</v>
      </c>
      <c r="N48" s="265" t="s">
        <v>334</v>
      </c>
      <c r="O48" s="265">
        <v>4</v>
      </c>
      <c r="P48" s="265">
        <f>AVERAGE($F$21,$F$24,$F$27,$F$30)</f>
        <v>4.1749999999999998</v>
      </c>
      <c r="Q48" s="265">
        <f>AVERAGE($G$21,$G$24,$G$27,$G$30)</f>
        <v>5.3</v>
      </c>
      <c r="R48">
        <v>37.340000000000003</v>
      </c>
      <c r="S48">
        <f t="shared" si="2"/>
        <v>149.36000000000001</v>
      </c>
      <c r="U48" s="349" t="s">
        <v>346</v>
      </c>
      <c r="V48" s="371" t="s">
        <v>361</v>
      </c>
      <c r="W48" s="370">
        <v>2</v>
      </c>
      <c r="X48" s="370" t="s">
        <v>334</v>
      </c>
      <c r="Y48" s="370">
        <v>4</v>
      </c>
      <c r="Z48" s="370">
        <f>AVERAGE($F$21,$F$24,$F$27,$F$30)</f>
        <v>4.1749999999999998</v>
      </c>
      <c r="AA48" s="370">
        <f>AVERAGE($G$21,$G$24,$G$27,$G$30)</f>
        <v>5.3</v>
      </c>
      <c r="AB48">
        <v>37.340000000000003</v>
      </c>
      <c r="AC48">
        <f t="shared" si="3"/>
        <v>149.36000000000001</v>
      </c>
      <c r="AE48" s="319" t="s">
        <v>346</v>
      </c>
      <c r="AF48" s="281" t="s">
        <v>398</v>
      </c>
      <c r="AG48" s="309">
        <v>2</v>
      </c>
      <c r="AH48" s="309" t="s">
        <v>334</v>
      </c>
      <c r="AI48" s="309">
        <v>3</v>
      </c>
      <c r="AJ48" s="309">
        <f>AVERAGE($F$21,$F$24,$F$27,$F$30)</f>
        <v>4.1749999999999998</v>
      </c>
      <c r="AK48" s="309">
        <f>AVERAGE($G$21,$G$24,$G$27,$G$30)</f>
        <v>5.3</v>
      </c>
      <c r="AL48">
        <v>31.6</v>
      </c>
      <c r="AM48">
        <f t="shared" si="4"/>
        <v>94.800000000000011</v>
      </c>
      <c r="AO48" s="265" t="s">
        <v>327</v>
      </c>
      <c r="AP48" s="281" t="s">
        <v>397</v>
      </c>
      <c r="AQ48" s="265"/>
      <c r="AR48" s="265"/>
      <c r="AS48" s="265"/>
      <c r="AT48" s="265"/>
      <c r="AU48" s="265"/>
      <c r="AV48" s="265"/>
      <c r="AW48" s="265">
        <f t="shared" si="5"/>
        <v>0</v>
      </c>
    </row>
    <row r="49" spans="1:49" x14ac:dyDescent="0.25">
      <c r="A49" s="281" t="s">
        <v>347</v>
      </c>
      <c r="B49" s="281" t="s">
        <v>361</v>
      </c>
      <c r="C49" s="348" t="s">
        <v>335</v>
      </c>
      <c r="D49" s="281" t="s">
        <v>336</v>
      </c>
      <c r="E49" s="281">
        <v>2</v>
      </c>
      <c r="F49" s="281">
        <f>AVERAGE($F$6,$F$17)</f>
        <v>4.3</v>
      </c>
      <c r="G49" s="281">
        <f>AVERAGE($G$6,$G$17)</f>
        <v>4.25</v>
      </c>
      <c r="H49" s="313">
        <v>33.799999999999997</v>
      </c>
      <c r="I49" s="313">
        <f t="shared" si="1"/>
        <v>67.599999999999994</v>
      </c>
      <c r="K49" s="281" t="s">
        <v>347</v>
      </c>
      <c r="L49" s="309" t="s">
        <v>361</v>
      </c>
      <c r="M49" s="278" t="s">
        <v>335</v>
      </c>
      <c r="N49" s="265" t="s">
        <v>336</v>
      </c>
      <c r="O49" s="265">
        <v>2</v>
      </c>
      <c r="P49" s="265">
        <f>AVERAGE($F$6,$F$17)</f>
        <v>4.3</v>
      </c>
      <c r="Q49" s="265">
        <f>AVERAGE($G$6,$G$17)</f>
        <v>4.25</v>
      </c>
      <c r="R49">
        <v>27.38</v>
      </c>
      <c r="S49">
        <f t="shared" si="2"/>
        <v>54.76</v>
      </c>
      <c r="U49" s="349" t="s">
        <v>347</v>
      </c>
      <c r="V49" s="370" t="s">
        <v>361</v>
      </c>
      <c r="W49" s="278" t="s">
        <v>335</v>
      </c>
      <c r="X49" s="370" t="s">
        <v>336</v>
      </c>
      <c r="Y49" s="370">
        <v>2</v>
      </c>
      <c r="Z49" s="370">
        <f>AVERAGE($F$6,$F$17)</f>
        <v>4.3</v>
      </c>
      <c r="AA49" s="370">
        <f>AVERAGE($G$6,$G$17)</f>
        <v>4.25</v>
      </c>
      <c r="AB49">
        <v>26.69</v>
      </c>
      <c r="AC49">
        <f t="shared" si="3"/>
        <v>53.38</v>
      </c>
      <c r="AE49" s="309" t="s">
        <v>347</v>
      </c>
      <c r="AF49" s="309" t="s">
        <v>398</v>
      </c>
      <c r="AG49" s="278" t="s">
        <v>335</v>
      </c>
      <c r="AH49" s="309" t="s">
        <v>336</v>
      </c>
      <c r="AI49" s="309">
        <v>2</v>
      </c>
      <c r="AJ49" s="309">
        <f>AVERAGE($F$6,$F$17)</f>
        <v>4.3</v>
      </c>
      <c r="AK49" s="309">
        <f>AVERAGE($G$6,$G$17)</f>
        <v>4.25</v>
      </c>
      <c r="AL49">
        <v>25.24</v>
      </c>
      <c r="AM49">
        <f t="shared" si="4"/>
        <v>50.48</v>
      </c>
      <c r="AO49" s="281" t="s">
        <v>353</v>
      </c>
      <c r="AP49" s="281" t="s">
        <v>398</v>
      </c>
      <c r="AQ49" s="281" t="s">
        <v>340</v>
      </c>
      <c r="AR49" s="281" t="s">
        <v>334</v>
      </c>
      <c r="AS49" s="281">
        <v>1</v>
      </c>
      <c r="AT49" s="281">
        <f>F20</f>
        <v>1.55</v>
      </c>
      <c r="AU49" s="281">
        <f>G20</f>
        <v>4.0999999999999996</v>
      </c>
      <c r="AV49" s="281">
        <v>20.399999999999999</v>
      </c>
      <c r="AW49" s="281">
        <f t="shared" si="5"/>
        <v>20.399999999999999</v>
      </c>
    </row>
    <row r="50" spans="1:49" x14ac:dyDescent="0.25">
      <c r="A50" s="281" t="s">
        <v>334</v>
      </c>
      <c r="B50" s="281" t="s">
        <v>361</v>
      </c>
      <c r="C50" s="348" t="s">
        <v>335</v>
      </c>
      <c r="D50" s="281" t="s">
        <v>336</v>
      </c>
      <c r="E50" s="281">
        <v>2</v>
      </c>
      <c r="F50" s="281">
        <f>AVERAGE($F$8,$F$14)</f>
        <v>5.65</v>
      </c>
      <c r="G50" s="281">
        <f>AVERAGE($G$8,$G$14)</f>
        <v>5.3</v>
      </c>
      <c r="H50" s="313">
        <v>30.97</v>
      </c>
      <c r="I50" s="313">
        <f t="shared" si="1"/>
        <v>61.94</v>
      </c>
      <c r="K50" s="281" t="s">
        <v>334</v>
      </c>
      <c r="L50" s="309" t="s">
        <v>361</v>
      </c>
      <c r="M50" s="278" t="s">
        <v>335</v>
      </c>
      <c r="N50" s="265" t="s">
        <v>336</v>
      </c>
      <c r="O50" s="265">
        <v>2</v>
      </c>
      <c r="P50" s="265">
        <f>AVERAGE($F$8,$F$14)</f>
        <v>5.65</v>
      </c>
      <c r="Q50" s="265">
        <f>AVERAGE($G$8,$G$14)</f>
        <v>5.3</v>
      </c>
      <c r="R50">
        <v>22.58</v>
      </c>
      <c r="S50">
        <f t="shared" si="2"/>
        <v>45.16</v>
      </c>
      <c r="U50" s="349" t="s">
        <v>334</v>
      </c>
      <c r="V50" s="370" t="s">
        <v>361</v>
      </c>
      <c r="W50" s="278" t="s">
        <v>335</v>
      </c>
      <c r="X50" s="370" t="s">
        <v>336</v>
      </c>
      <c r="Y50" s="370">
        <v>2</v>
      </c>
      <c r="Z50" s="370">
        <f>AVERAGE($F$8,$F$14)</f>
        <v>5.65</v>
      </c>
      <c r="AA50" s="370">
        <f>AVERAGE($G$8,$G$14)</f>
        <v>5.3</v>
      </c>
      <c r="AB50">
        <v>21.93</v>
      </c>
      <c r="AC50">
        <f t="shared" si="3"/>
        <v>43.86</v>
      </c>
      <c r="AE50" s="319" t="s">
        <v>334</v>
      </c>
      <c r="AF50" s="309" t="s">
        <v>398</v>
      </c>
      <c r="AG50" s="278" t="s">
        <v>335</v>
      </c>
      <c r="AH50" s="309" t="s">
        <v>336</v>
      </c>
      <c r="AI50" s="309">
        <v>1</v>
      </c>
      <c r="AJ50" s="309">
        <f>AVERAGE($F$8,$F$14)</f>
        <v>5.65</v>
      </c>
      <c r="AK50" s="309">
        <f>AVERAGE($G$8,$G$14)</f>
        <v>5.3</v>
      </c>
      <c r="AL50">
        <v>21.62</v>
      </c>
      <c r="AM50">
        <f t="shared" si="4"/>
        <v>21.62</v>
      </c>
      <c r="AO50" s="281" t="s">
        <v>346</v>
      </c>
      <c r="AP50" s="281" t="s">
        <v>398</v>
      </c>
      <c r="AQ50" s="281">
        <v>1</v>
      </c>
      <c r="AR50" s="281" t="s">
        <v>334</v>
      </c>
      <c r="AS50" s="281">
        <v>1</v>
      </c>
      <c r="AT50" s="281">
        <f>F21</f>
        <v>4.0999999999999996</v>
      </c>
      <c r="AU50" s="281"/>
      <c r="AV50" s="281">
        <v>20.399999999999999</v>
      </c>
      <c r="AW50" s="281">
        <f t="shared" si="5"/>
        <v>20.399999999999999</v>
      </c>
    </row>
    <row r="51" spans="1:49" x14ac:dyDescent="0.25">
      <c r="A51" s="281" t="s">
        <v>0</v>
      </c>
      <c r="B51" s="281" t="s">
        <v>375</v>
      </c>
      <c r="C51" s="348" t="s">
        <v>335</v>
      </c>
      <c r="D51" s="281" t="s">
        <v>338</v>
      </c>
      <c r="E51" s="281">
        <v>2</v>
      </c>
      <c r="F51" s="281">
        <f>AVERAGE($F$7,$F$13)</f>
        <v>3.95</v>
      </c>
      <c r="G51" s="281">
        <f>AVERAGE($G$7,$G$13)</f>
        <v>5.65</v>
      </c>
      <c r="H51" s="313">
        <v>8.9499999999999993</v>
      </c>
      <c r="I51" s="313">
        <f t="shared" si="1"/>
        <v>17.899999999999999</v>
      </c>
      <c r="K51" s="281" t="s">
        <v>0</v>
      </c>
      <c r="L51" s="309" t="s">
        <v>375</v>
      </c>
      <c r="M51" s="278" t="s">
        <v>335</v>
      </c>
      <c r="N51" s="265" t="s">
        <v>338</v>
      </c>
      <c r="O51" s="265">
        <v>2</v>
      </c>
      <c r="P51" s="265">
        <f>AVERAGE($F$7,$F$13)</f>
        <v>3.95</v>
      </c>
      <c r="Q51" s="265">
        <f>AVERAGE($G$7,$G$13)</f>
        <v>5.65</v>
      </c>
      <c r="R51">
        <v>10.85</v>
      </c>
      <c r="S51">
        <f t="shared" si="2"/>
        <v>21.7</v>
      </c>
      <c r="U51" s="349" t="s">
        <v>0</v>
      </c>
      <c r="V51" s="370" t="s">
        <v>375</v>
      </c>
      <c r="W51" s="278" t="s">
        <v>335</v>
      </c>
      <c r="X51" s="370" t="s">
        <v>338</v>
      </c>
      <c r="Y51" s="370">
        <v>2</v>
      </c>
      <c r="Z51" s="370">
        <f>AVERAGE($F$7,$F$13)</f>
        <v>3.95</v>
      </c>
      <c r="AA51" s="370">
        <f>AVERAGE($G$7,$G$13)</f>
        <v>5.65</v>
      </c>
      <c r="AB51">
        <v>10.66</v>
      </c>
      <c r="AC51">
        <f t="shared" si="3"/>
        <v>21.32</v>
      </c>
      <c r="AE51" s="319" t="s">
        <v>0</v>
      </c>
      <c r="AF51" s="309" t="s">
        <v>397</v>
      </c>
      <c r="AG51" s="278" t="s">
        <v>335</v>
      </c>
      <c r="AH51" s="309" t="s">
        <v>338</v>
      </c>
      <c r="AI51" s="309">
        <v>1</v>
      </c>
      <c r="AJ51" s="309">
        <f>AVERAGE($F$7,$F$13)</f>
        <v>3.95</v>
      </c>
      <c r="AK51" s="309">
        <f>AVERAGE($G$7,$G$13)</f>
        <v>5.65</v>
      </c>
      <c r="AL51">
        <v>10.220000000000001</v>
      </c>
      <c r="AM51">
        <f t="shared" si="4"/>
        <v>10.220000000000001</v>
      </c>
      <c r="AO51" s="281" t="s">
        <v>33</v>
      </c>
      <c r="AP51" s="313"/>
      <c r="AQ51" s="313"/>
      <c r="AR51" s="313"/>
      <c r="AS51" s="313"/>
      <c r="AT51" s="281"/>
      <c r="AU51" s="281"/>
      <c r="AV51" s="281"/>
      <c r="AW51" s="281">
        <f>SUM(AW46:AW50)</f>
        <v>66.039999999999992</v>
      </c>
    </row>
    <row r="52" spans="1:49" x14ac:dyDescent="0.25">
      <c r="A52" s="281" t="s">
        <v>348</v>
      </c>
      <c r="B52" s="281" t="s">
        <v>361</v>
      </c>
      <c r="C52" s="281">
        <v>1</v>
      </c>
      <c r="D52" s="281" t="s">
        <v>339</v>
      </c>
      <c r="E52" s="281">
        <v>1</v>
      </c>
      <c r="F52" s="281"/>
      <c r="G52" s="281">
        <f>$F$9</f>
        <v>5.3</v>
      </c>
      <c r="H52" s="313">
        <v>17.75</v>
      </c>
      <c r="I52" s="313">
        <f t="shared" si="1"/>
        <v>17.75</v>
      </c>
      <c r="K52" s="281" t="s">
        <v>348</v>
      </c>
      <c r="L52" s="309" t="s">
        <v>361</v>
      </c>
      <c r="M52" s="265">
        <v>1</v>
      </c>
      <c r="N52" s="265" t="s">
        <v>339</v>
      </c>
      <c r="O52" s="265">
        <v>1</v>
      </c>
      <c r="P52" s="265"/>
      <c r="Q52" s="265">
        <f>$F$9</f>
        <v>5.3</v>
      </c>
      <c r="R52">
        <v>3.62</v>
      </c>
      <c r="S52">
        <f t="shared" si="2"/>
        <v>3.62</v>
      </c>
      <c r="U52" s="349" t="s">
        <v>348</v>
      </c>
      <c r="V52" s="370" t="s">
        <v>361</v>
      </c>
      <c r="W52" s="370">
        <v>1</v>
      </c>
      <c r="X52" s="370" t="s">
        <v>339</v>
      </c>
      <c r="Y52" s="370">
        <v>1</v>
      </c>
      <c r="Z52" s="370"/>
      <c r="AA52" s="370">
        <f>$F$9</f>
        <v>5.3</v>
      </c>
      <c r="AB52">
        <v>2.57</v>
      </c>
      <c r="AC52">
        <f t="shared" si="3"/>
        <v>2.57</v>
      </c>
      <c r="AE52" s="281" t="s">
        <v>348</v>
      </c>
      <c r="AF52" s="309" t="s">
        <v>398</v>
      </c>
      <c r="AG52" s="309">
        <v>1</v>
      </c>
      <c r="AH52" s="309" t="s">
        <v>339</v>
      </c>
      <c r="AI52" s="309">
        <v>1</v>
      </c>
      <c r="AJ52" s="309"/>
      <c r="AK52" s="309">
        <f>$F$9</f>
        <v>5.3</v>
      </c>
      <c r="AL52">
        <v>5.03</v>
      </c>
      <c r="AM52">
        <f t="shared" si="4"/>
        <v>5.03</v>
      </c>
    </row>
    <row r="53" spans="1:49" x14ac:dyDescent="0.25">
      <c r="A53" s="281" t="s">
        <v>349</v>
      </c>
      <c r="B53" s="281" t="s">
        <v>375</v>
      </c>
      <c r="C53" s="281">
        <v>2</v>
      </c>
      <c r="D53" s="281" t="s">
        <v>334</v>
      </c>
      <c r="E53" s="281">
        <v>1</v>
      </c>
      <c r="F53" s="281">
        <f>$F$11</f>
        <v>4.05</v>
      </c>
      <c r="G53" s="281">
        <f>$G$11</f>
        <v>4.55</v>
      </c>
      <c r="H53" s="313">
        <v>9.86</v>
      </c>
      <c r="I53" s="313">
        <f t="shared" si="1"/>
        <v>9.86</v>
      </c>
      <c r="K53" s="281" t="s">
        <v>349</v>
      </c>
      <c r="L53" s="309" t="s">
        <v>375</v>
      </c>
      <c r="M53" s="265">
        <v>2</v>
      </c>
      <c r="N53" s="265" t="s">
        <v>334</v>
      </c>
      <c r="O53" s="265">
        <v>1</v>
      </c>
      <c r="P53" s="265">
        <f>$F$11</f>
        <v>4.05</v>
      </c>
      <c r="Q53" s="265">
        <f>$G$11</f>
        <v>4.55</v>
      </c>
      <c r="R53">
        <v>13.38</v>
      </c>
      <c r="S53">
        <f t="shared" si="2"/>
        <v>13.38</v>
      </c>
      <c r="U53" s="349" t="s">
        <v>349</v>
      </c>
      <c r="V53" s="370" t="s">
        <v>375</v>
      </c>
      <c r="W53" s="370">
        <v>2</v>
      </c>
      <c r="X53" s="370" t="s">
        <v>334</v>
      </c>
      <c r="Y53" s="370">
        <v>1</v>
      </c>
      <c r="Z53" s="370">
        <f>$F$11</f>
        <v>4.05</v>
      </c>
      <c r="AA53" s="370">
        <f>$G$11</f>
        <v>4.55</v>
      </c>
      <c r="AB53">
        <v>13.38</v>
      </c>
      <c r="AC53">
        <f t="shared" si="3"/>
        <v>13.38</v>
      </c>
      <c r="AE53" s="309" t="s">
        <v>349</v>
      </c>
      <c r="AF53" s="309" t="s">
        <v>397</v>
      </c>
      <c r="AG53" s="309">
        <v>2</v>
      </c>
      <c r="AH53" s="309" t="s">
        <v>334</v>
      </c>
      <c r="AI53" s="309">
        <v>1</v>
      </c>
      <c r="AJ53" s="309">
        <f>$F$11</f>
        <v>4.05</v>
      </c>
      <c r="AK53" s="309">
        <f>$G$11</f>
        <v>4.55</v>
      </c>
      <c r="AL53">
        <v>12</v>
      </c>
      <c r="AM53">
        <f t="shared" si="4"/>
        <v>12</v>
      </c>
    </row>
    <row r="54" spans="1:49" x14ac:dyDescent="0.25">
      <c r="A54" s="281" t="s">
        <v>350</v>
      </c>
      <c r="B54" s="281" t="s">
        <v>375</v>
      </c>
      <c r="C54" s="348" t="s">
        <v>335</v>
      </c>
      <c r="D54" s="281" t="s">
        <v>336</v>
      </c>
      <c r="E54" s="281">
        <v>1</v>
      </c>
      <c r="F54" s="281">
        <f>$F$12</f>
        <v>4.55</v>
      </c>
      <c r="G54" s="281">
        <f>$G$12</f>
        <v>3.95</v>
      </c>
      <c r="H54" s="313">
        <v>9.1999999999999993</v>
      </c>
      <c r="I54" s="313">
        <f t="shared" si="1"/>
        <v>9.1999999999999993</v>
      </c>
      <c r="J54" s="152"/>
      <c r="K54" s="281" t="s">
        <v>350</v>
      </c>
      <c r="L54" s="309" t="s">
        <v>375</v>
      </c>
      <c r="M54" s="278" t="s">
        <v>335</v>
      </c>
      <c r="N54" s="265" t="s">
        <v>336</v>
      </c>
      <c r="O54" s="265">
        <v>1</v>
      </c>
      <c r="P54" s="265">
        <f>$F$12</f>
        <v>4.55</v>
      </c>
      <c r="Q54" s="265">
        <f>$G$12</f>
        <v>3.95</v>
      </c>
      <c r="R54">
        <v>11.52</v>
      </c>
      <c r="S54">
        <f t="shared" si="2"/>
        <v>11.52</v>
      </c>
      <c r="U54" s="349" t="s">
        <v>350</v>
      </c>
      <c r="V54" s="370" t="s">
        <v>375</v>
      </c>
      <c r="W54" s="278" t="s">
        <v>335</v>
      </c>
      <c r="X54" s="370" t="s">
        <v>336</v>
      </c>
      <c r="Y54" s="370">
        <v>1</v>
      </c>
      <c r="Z54" s="370">
        <f>$F$12</f>
        <v>4.55</v>
      </c>
      <c r="AA54" s="370">
        <f>$G$12</f>
        <v>3.95</v>
      </c>
      <c r="AB54">
        <v>11.37</v>
      </c>
      <c r="AC54">
        <f t="shared" si="3"/>
        <v>11.37</v>
      </c>
      <c r="AE54" s="309" t="s">
        <v>350</v>
      </c>
      <c r="AF54" s="309" t="s">
        <v>397</v>
      </c>
      <c r="AG54" s="278" t="s">
        <v>335</v>
      </c>
      <c r="AH54" s="309" t="s">
        <v>336</v>
      </c>
      <c r="AI54" s="309">
        <v>1</v>
      </c>
      <c r="AJ54" s="309">
        <f>$F$12</f>
        <v>4.55</v>
      </c>
      <c r="AK54" s="309">
        <f>$G$12</f>
        <v>3.95</v>
      </c>
      <c r="AL54">
        <v>10.71</v>
      </c>
      <c r="AM54">
        <f t="shared" si="4"/>
        <v>10.71</v>
      </c>
    </row>
    <row r="55" spans="1:49" x14ac:dyDescent="0.25">
      <c r="A55" s="281" t="s">
        <v>351</v>
      </c>
      <c r="B55" s="281" t="s">
        <v>375</v>
      </c>
      <c r="C55" s="281">
        <v>1</v>
      </c>
      <c r="D55" s="281" t="s">
        <v>339</v>
      </c>
      <c r="E55" s="281">
        <v>1</v>
      </c>
      <c r="F55" s="281"/>
      <c r="G55" s="281">
        <f>$F$15</f>
        <v>5.3</v>
      </c>
      <c r="H55" s="313">
        <v>5.01</v>
      </c>
      <c r="I55" s="313">
        <f t="shared" si="1"/>
        <v>5.01</v>
      </c>
      <c r="J55" s="265"/>
      <c r="K55" s="281" t="s">
        <v>351</v>
      </c>
      <c r="L55" s="309" t="s">
        <v>375</v>
      </c>
      <c r="M55" s="265">
        <v>1</v>
      </c>
      <c r="N55" s="265" t="s">
        <v>339</v>
      </c>
      <c r="O55" s="265">
        <v>1</v>
      </c>
      <c r="P55" s="265"/>
      <c r="Q55" s="265">
        <f>$F$15</f>
        <v>5.3</v>
      </c>
      <c r="R55">
        <v>3.07</v>
      </c>
      <c r="S55">
        <f t="shared" si="2"/>
        <v>3.07</v>
      </c>
      <c r="U55" s="349" t="s">
        <v>351</v>
      </c>
      <c r="V55" s="370" t="s">
        <v>375</v>
      </c>
      <c r="W55" s="370">
        <v>1</v>
      </c>
      <c r="X55" s="370" t="s">
        <v>339</v>
      </c>
      <c r="Y55" s="370">
        <v>1</v>
      </c>
      <c r="Z55" s="370"/>
      <c r="AA55" s="370">
        <f>$F$15</f>
        <v>5.3</v>
      </c>
      <c r="AB55">
        <v>2.2799999999999998</v>
      </c>
      <c r="AC55">
        <f t="shared" si="3"/>
        <v>2.2799999999999998</v>
      </c>
      <c r="AE55" s="309" t="s">
        <v>351</v>
      </c>
      <c r="AF55" s="309" t="s">
        <v>397</v>
      </c>
      <c r="AG55" s="309">
        <v>1</v>
      </c>
      <c r="AH55" s="309" t="s">
        <v>339</v>
      </c>
      <c r="AI55" s="309">
        <v>1</v>
      </c>
      <c r="AJ55" s="309"/>
      <c r="AK55" s="309">
        <f>$F$15</f>
        <v>5.3</v>
      </c>
      <c r="AL55">
        <v>3.87</v>
      </c>
      <c r="AM55">
        <f t="shared" si="4"/>
        <v>3.87</v>
      </c>
    </row>
    <row r="56" spans="1:49" x14ac:dyDescent="0.25">
      <c r="A56" s="281" t="s">
        <v>327</v>
      </c>
      <c r="B56" s="281" t="s">
        <v>375</v>
      </c>
      <c r="C56" s="281">
        <v>1</v>
      </c>
      <c r="D56" s="281" t="s">
        <v>334</v>
      </c>
      <c r="E56" s="281">
        <v>5</v>
      </c>
      <c r="F56" s="281">
        <f>AVERAGE($G$16,$F$19,$G$23,$G$26,$G$29)</f>
        <v>4.12</v>
      </c>
      <c r="G56" s="281"/>
      <c r="H56" s="313">
        <v>9.14</v>
      </c>
      <c r="I56" s="313">
        <f t="shared" si="1"/>
        <v>45.7</v>
      </c>
      <c r="J56" s="265"/>
      <c r="K56" s="281" t="s">
        <v>327</v>
      </c>
      <c r="L56" s="309" t="s">
        <v>375</v>
      </c>
      <c r="M56" s="265">
        <v>1</v>
      </c>
      <c r="N56" s="265" t="s">
        <v>334</v>
      </c>
      <c r="O56" s="265">
        <v>5</v>
      </c>
      <c r="P56" s="265">
        <f>AVERAGE($G$16,$F$19,$G$23,$G$26,$G$29)</f>
        <v>4.12</v>
      </c>
      <c r="Q56" s="265"/>
      <c r="R56">
        <v>11.36</v>
      </c>
      <c r="S56">
        <f t="shared" si="2"/>
        <v>56.8</v>
      </c>
      <c r="U56" s="349" t="s">
        <v>327</v>
      </c>
      <c r="V56" s="370" t="s">
        <v>375</v>
      </c>
      <c r="W56" s="370">
        <v>1</v>
      </c>
      <c r="X56" s="370" t="s">
        <v>334</v>
      </c>
      <c r="Y56" s="370">
        <v>5</v>
      </c>
      <c r="Z56" s="370">
        <f>AVERAGE($G$16,$F$19,$G$23,$G$26,$G$29)</f>
        <v>4.12</v>
      </c>
      <c r="AA56" s="370"/>
      <c r="AB56">
        <v>11.36</v>
      </c>
      <c r="AC56">
        <f t="shared" si="3"/>
        <v>56.8</v>
      </c>
      <c r="AE56" s="319" t="s">
        <v>327</v>
      </c>
      <c r="AF56" s="309" t="s">
        <v>397</v>
      </c>
      <c r="AG56" s="309">
        <v>1</v>
      </c>
      <c r="AH56" s="309" t="s">
        <v>334</v>
      </c>
      <c r="AI56" s="309">
        <v>4</v>
      </c>
      <c r="AJ56" s="309">
        <f>AVERAGE($G$16,$F$19,$G$23,$G$26,$G$29)</f>
        <v>4.12</v>
      </c>
      <c r="AK56" s="309"/>
      <c r="AL56">
        <v>10</v>
      </c>
      <c r="AM56">
        <f t="shared" si="4"/>
        <v>40</v>
      </c>
    </row>
    <row r="57" spans="1:49" x14ac:dyDescent="0.25">
      <c r="A57" s="281" t="s">
        <v>352</v>
      </c>
      <c r="B57" s="281" t="s">
        <v>375</v>
      </c>
      <c r="C57" s="281">
        <v>1</v>
      </c>
      <c r="D57" s="281" t="s">
        <v>334</v>
      </c>
      <c r="E57" s="281">
        <v>4</v>
      </c>
      <c r="F57" s="281">
        <f>AVERAGE($F$22,$F$25,$F$28,$F$31)</f>
        <v>5.3</v>
      </c>
      <c r="G57" s="281"/>
      <c r="H57" s="313">
        <v>8.7799999999999994</v>
      </c>
      <c r="I57" s="313">
        <f t="shared" si="1"/>
        <v>35.119999999999997</v>
      </c>
      <c r="J57" s="265"/>
      <c r="K57" s="281" t="s">
        <v>352</v>
      </c>
      <c r="L57" s="309" t="s">
        <v>375</v>
      </c>
      <c r="M57" s="265">
        <v>1</v>
      </c>
      <c r="N57" s="265" t="s">
        <v>334</v>
      </c>
      <c r="O57" s="265">
        <v>4</v>
      </c>
      <c r="P57" s="265">
        <f>AVERAGE($F$22,$F$25,$F$28,$F$31)</f>
        <v>5.3</v>
      </c>
      <c r="Q57" s="265"/>
      <c r="R57">
        <v>10.42</v>
      </c>
      <c r="S57">
        <f t="shared" si="2"/>
        <v>41.68</v>
      </c>
      <c r="U57" s="349" t="s">
        <v>352</v>
      </c>
      <c r="V57" s="370" t="s">
        <v>375</v>
      </c>
      <c r="W57" s="370">
        <v>1</v>
      </c>
      <c r="X57" s="370" t="s">
        <v>334</v>
      </c>
      <c r="Y57" s="370">
        <v>4</v>
      </c>
      <c r="Z57" s="370">
        <f>AVERAGE($F$22,$F$25,$F$28,$F$31)</f>
        <v>5.3</v>
      </c>
      <c r="AA57" s="370"/>
      <c r="AB57">
        <v>10.42</v>
      </c>
      <c r="AC57">
        <f t="shared" si="3"/>
        <v>41.68</v>
      </c>
      <c r="AE57" s="281" t="s">
        <v>352</v>
      </c>
      <c r="AF57" s="309" t="s">
        <v>397</v>
      </c>
      <c r="AG57" s="309">
        <v>1</v>
      </c>
      <c r="AH57" s="309" t="s">
        <v>334</v>
      </c>
      <c r="AI57" s="309">
        <v>4</v>
      </c>
      <c r="AJ57" s="309">
        <f>AVERAGE($F$22,$F$25,$F$28,$F$31)</f>
        <v>5.3</v>
      </c>
      <c r="AK57" s="309"/>
      <c r="AL57">
        <v>9.77</v>
      </c>
      <c r="AM57">
        <f t="shared" si="4"/>
        <v>39.08</v>
      </c>
    </row>
    <row r="58" spans="1:49" x14ac:dyDescent="0.25">
      <c r="A58" s="281" t="s">
        <v>353</v>
      </c>
      <c r="B58" s="281" t="s">
        <v>361</v>
      </c>
      <c r="C58" s="281" t="s">
        <v>340</v>
      </c>
      <c r="D58" s="281" t="s">
        <v>341</v>
      </c>
      <c r="E58" s="281">
        <v>1</v>
      </c>
      <c r="F58" s="281">
        <f>$F$20</f>
        <v>1.55</v>
      </c>
      <c r="G58" s="281">
        <f>$G$20</f>
        <v>4.0999999999999996</v>
      </c>
      <c r="H58" s="313">
        <v>32.94</v>
      </c>
      <c r="I58" s="313">
        <f t="shared" si="1"/>
        <v>32.94</v>
      </c>
      <c r="J58" s="265"/>
      <c r="K58" s="281" t="s">
        <v>353</v>
      </c>
      <c r="L58" s="309" t="s">
        <v>361</v>
      </c>
      <c r="M58" s="265" t="s">
        <v>340</v>
      </c>
      <c r="N58" s="265" t="s">
        <v>341</v>
      </c>
      <c r="O58" s="265">
        <v>1</v>
      </c>
      <c r="P58" s="265">
        <f>$F$20</f>
        <v>1.55</v>
      </c>
      <c r="Q58" s="265">
        <f>$G$20</f>
        <v>4.0999999999999996</v>
      </c>
      <c r="R58">
        <v>25.88</v>
      </c>
      <c r="S58">
        <f t="shared" si="2"/>
        <v>25.88</v>
      </c>
      <c r="U58" s="349" t="s">
        <v>353</v>
      </c>
      <c r="V58" s="370" t="s">
        <v>361</v>
      </c>
      <c r="W58" s="370" t="s">
        <v>340</v>
      </c>
      <c r="X58" s="370" t="s">
        <v>341</v>
      </c>
      <c r="Y58" s="370">
        <v>1</v>
      </c>
      <c r="Z58" s="370">
        <f>$F$20</f>
        <v>1.55</v>
      </c>
      <c r="AA58" s="370">
        <f>$G$20</f>
        <v>4.0999999999999996</v>
      </c>
      <c r="AB58">
        <v>25.88</v>
      </c>
      <c r="AC58">
        <f t="shared" si="3"/>
        <v>25.88</v>
      </c>
      <c r="AE58" s="319" t="s">
        <v>353</v>
      </c>
      <c r="AF58" s="309" t="s">
        <v>398</v>
      </c>
      <c r="AG58" s="309" t="s">
        <v>340</v>
      </c>
      <c r="AH58" s="309" t="s">
        <v>341</v>
      </c>
      <c r="AI58" s="309">
        <v>0</v>
      </c>
      <c r="AJ58" s="309">
        <f>$F$20</f>
        <v>1.55</v>
      </c>
      <c r="AK58" s="309">
        <f>$G$20</f>
        <v>4.0999999999999996</v>
      </c>
      <c r="AL58">
        <v>23.69</v>
      </c>
      <c r="AM58">
        <f t="shared" si="4"/>
        <v>0</v>
      </c>
    </row>
    <row r="59" spans="1:49" x14ac:dyDescent="0.25">
      <c r="A59" s="265" t="s">
        <v>354</v>
      </c>
      <c r="B59" s="265" t="s">
        <v>361</v>
      </c>
      <c r="C59" s="278" t="s">
        <v>335</v>
      </c>
      <c r="D59" s="265" t="s">
        <v>338</v>
      </c>
      <c r="E59" s="265">
        <v>1</v>
      </c>
      <c r="F59" s="265">
        <f>$F$18</f>
        <v>4.55</v>
      </c>
      <c r="G59" s="265">
        <f>$G$18</f>
        <v>3.95</v>
      </c>
      <c r="H59">
        <v>34.54</v>
      </c>
      <c r="I59">
        <f t="shared" si="1"/>
        <v>34.54</v>
      </c>
      <c r="J59" s="265"/>
      <c r="K59" s="265" t="s">
        <v>354</v>
      </c>
      <c r="L59" s="309" t="s">
        <v>361</v>
      </c>
      <c r="M59" s="278" t="s">
        <v>335</v>
      </c>
      <c r="N59" s="265" t="s">
        <v>338</v>
      </c>
      <c r="O59" s="265">
        <v>1</v>
      </c>
      <c r="P59" s="265">
        <f>$F$18</f>
        <v>4.55</v>
      </c>
      <c r="Q59" s="265">
        <f>$G$18</f>
        <v>3.95</v>
      </c>
      <c r="R59">
        <v>28.69</v>
      </c>
      <c r="S59">
        <f t="shared" si="2"/>
        <v>28.69</v>
      </c>
      <c r="U59" s="349" t="s">
        <v>354</v>
      </c>
      <c r="V59" s="370" t="s">
        <v>361</v>
      </c>
      <c r="W59" s="278" t="s">
        <v>335</v>
      </c>
      <c r="X59" s="370" t="s">
        <v>338</v>
      </c>
      <c r="Y59" s="370">
        <v>1</v>
      </c>
      <c r="Z59" s="370">
        <f>$F$18</f>
        <v>4.55</v>
      </c>
      <c r="AA59" s="370">
        <f>$G$18</f>
        <v>3.95</v>
      </c>
      <c r="AB59">
        <v>28.07</v>
      </c>
      <c r="AC59">
        <f t="shared" si="3"/>
        <v>28.07</v>
      </c>
      <c r="AE59" s="309" t="s">
        <v>354</v>
      </c>
      <c r="AF59" s="309" t="s">
        <v>398</v>
      </c>
      <c r="AG59" s="278" t="s">
        <v>335</v>
      </c>
      <c r="AH59" s="309" t="s">
        <v>338</v>
      </c>
      <c r="AI59" s="309">
        <v>1</v>
      </c>
      <c r="AJ59" s="309">
        <f>$F$18</f>
        <v>4.55</v>
      </c>
      <c r="AK59" s="309">
        <f>$G$18</f>
        <v>3.95</v>
      </c>
      <c r="AL59">
        <v>26.14</v>
      </c>
      <c r="AM59">
        <f t="shared" si="4"/>
        <v>26.14</v>
      </c>
    </row>
    <row r="60" spans="1:49" x14ac:dyDescent="0.25">
      <c r="A60" s="265" t="s">
        <v>33</v>
      </c>
      <c r="I60">
        <f>SUM(I46:I59)</f>
        <v>600.23999999999978</v>
      </c>
      <c r="J60" s="265"/>
      <c r="K60" s="265" t="s">
        <v>33</v>
      </c>
      <c r="S60">
        <f>SUM(S46:S59)</f>
        <v>547.08000000000004</v>
      </c>
      <c r="U60" s="349" t="s">
        <v>33</v>
      </c>
      <c r="AC60">
        <f>SUM(AC46:AC59)+AC39+AC40+AC41+AC42+AC43</f>
        <v>541.41000000000008</v>
      </c>
      <c r="AE60" s="309" t="s">
        <v>33</v>
      </c>
      <c r="AM60">
        <f>SUM(AM46:AM59)+AM39+AM40+AM41+AM42+AM43</f>
        <v>475.88999999999987</v>
      </c>
    </row>
    <row r="61" spans="1:49" x14ac:dyDescent="0.25">
      <c r="I61" s="265"/>
      <c r="J61" s="265"/>
      <c r="K61" s="313"/>
      <c r="AE61" s="313"/>
    </row>
  </sheetData>
  <mergeCells count="7">
    <mergeCell ref="U44:AC44"/>
    <mergeCell ref="AE44:AM44"/>
    <mergeCell ref="A1:U1"/>
    <mergeCell ref="A44:I44"/>
    <mergeCell ref="AO44:AW44"/>
    <mergeCell ref="K44:S44"/>
    <mergeCell ref="A2:U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5"/>
  <sheetViews>
    <sheetView topLeftCell="Z36" zoomScale="90" zoomScaleNormal="90" workbookViewId="0">
      <selection activeCell="AE36" sqref="AE35:AM55"/>
    </sheetView>
  </sheetViews>
  <sheetFormatPr defaultRowHeight="15" x14ac:dyDescent="0.25"/>
  <cols>
    <col min="1" max="1" width="11.28515625" bestFit="1" customWidth="1"/>
    <col min="2" max="2" width="10.7109375" bestFit="1" customWidth="1"/>
    <col min="3" max="3" width="9.42578125" bestFit="1" customWidth="1"/>
    <col min="4" max="4" width="10.7109375" bestFit="1" customWidth="1"/>
    <col min="5" max="5" width="13" bestFit="1" customWidth="1"/>
    <col min="6" max="6" width="12.7109375" bestFit="1" customWidth="1"/>
    <col min="7" max="7" width="11.28515625" bestFit="1" customWidth="1"/>
    <col min="8" max="13" width="10.5703125" bestFit="1" customWidth="1"/>
    <col min="14" max="14" width="10.7109375" bestFit="1" customWidth="1"/>
    <col min="15" max="15" width="10.5703125" bestFit="1" customWidth="1"/>
    <col min="16" max="16" width="13" bestFit="1" customWidth="1"/>
    <col min="17" max="17" width="11.28515625" bestFit="1" customWidth="1"/>
    <col min="18" max="23" width="10.5703125" bestFit="1" customWidth="1"/>
    <col min="24" max="24" width="10.7109375" bestFit="1" customWidth="1"/>
    <col min="25" max="25" width="10.5703125" bestFit="1" customWidth="1"/>
    <col min="38" max="39" width="9.5703125" bestFit="1" customWidth="1"/>
    <col min="41" max="41" width="10.5703125" bestFit="1" customWidth="1"/>
    <col min="43" max="43" width="8.42578125" bestFit="1" customWidth="1"/>
    <col min="44" max="44" width="10.7109375" bestFit="1" customWidth="1"/>
    <col min="45" max="45" width="10.5703125" bestFit="1" customWidth="1"/>
    <col min="46" max="46" width="13" bestFit="1" customWidth="1"/>
    <col min="47" max="47" width="11.28515625" bestFit="1" customWidth="1"/>
    <col min="48" max="49" width="9.5703125" bestFit="1" customWidth="1"/>
  </cols>
  <sheetData>
    <row r="1" spans="1:25" ht="15.75" x14ac:dyDescent="0.25">
      <c r="A1" s="447" t="s">
        <v>362</v>
      </c>
      <c r="B1" s="447"/>
      <c r="C1" s="447"/>
      <c r="D1" s="447"/>
      <c r="E1" s="447"/>
      <c r="F1" s="447"/>
      <c r="G1" s="447"/>
      <c r="H1" s="447"/>
      <c r="I1" s="447"/>
      <c r="J1" s="447"/>
      <c r="K1" s="447"/>
      <c r="L1" s="447"/>
      <c r="M1" s="447"/>
      <c r="N1" s="447"/>
      <c r="O1" s="447"/>
      <c r="P1" s="447"/>
      <c r="Q1" s="447"/>
      <c r="R1" s="447"/>
      <c r="S1" s="447"/>
      <c r="T1" s="447"/>
      <c r="U1" s="447"/>
    </row>
    <row r="2" spans="1:25" ht="15.75" x14ac:dyDescent="0.25">
      <c r="A2" s="447" t="s">
        <v>337</v>
      </c>
      <c r="B2" s="447"/>
      <c r="C2" s="447"/>
      <c r="D2" s="447"/>
      <c r="E2" s="447"/>
      <c r="F2" s="447"/>
      <c r="G2" s="447"/>
      <c r="H2" s="447"/>
      <c r="I2" s="447"/>
      <c r="J2" s="447"/>
      <c r="K2" s="447"/>
      <c r="L2" s="447"/>
      <c r="M2" s="447"/>
      <c r="N2" s="447"/>
      <c r="O2" s="447"/>
      <c r="P2" s="447"/>
      <c r="Q2" s="447"/>
      <c r="R2" s="447"/>
      <c r="S2" s="447"/>
      <c r="T2" s="447"/>
      <c r="U2" s="447"/>
    </row>
    <row r="3" spans="1:25" ht="45" x14ac:dyDescent="0.25">
      <c r="A3" s="265" t="s">
        <v>326</v>
      </c>
      <c r="B3" s="265" t="s">
        <v>325</v>
      </c>
      <c r="C3" s="265" t="s">
        <v>324</v>
      </c>
      <c r="D3" s="265" t="s">
        <v>333</v>
      </c>
      <c r="E3" s="265" t="s">
        <v>332</v>
      </c>
      <c r="F3" s="152" t="s">
        <v>342</v>
      </c>
      <c r="G3" s="152" t="s">
        <v>343</v>
      </c>
      <c r="H3" s="265" t="s">
        <v>344</v>
      </c>
      <c r="I3" s="265" t="s">
        <v>344</v>
      </c>
      <c r="J3" s="265" t="s">
        <v>344</v>
      </c>
      <c r="K3" s="265" t="s">
        <v>344</v>
      </c>
      <c r="L3" s="265" t="s">
        <v>344</v>
      </c>
      <c r="M3" s="265" t="s">
        <v>344</v>
      </c>
      <c r="N3" s="265" t="s">
        <v>344</v>
      </c>
      <c r="O3" s="265" t="s">
        <v>344</v>
      </c>
      <c r="P3" s="265" t="s">
        <v>344</v>
      </c>
      <c r="Q3" s="265" t="s">
        <v>344</v>
      </c>
      <c r="R3" s="265" t="s">
        <v>344</v>
      </c>
      <c r="S3" s="265" t="s">
        <v>344</v>
      </c>
      <c r="T3" s="265" t="s">
        <v>344</v>
      </c>
      <c r="U3" s="265" t="s">
        <v>344</v>
      </c>
      <c r="V3" s="265" t="s">
        <v>344</v>
      </c>
      <c r="W3" s="265" t="s">
        <v>344</v>
      </c>
      <c r="X3" s="265" t="s">
        <v>344</v>
      </c>
      <c r="Y3" s="265" t="s">
        <v>344</v>
      </c>
    </row>
    <row r="4" spans="1:25" ht="18.75" x14ac:dyDescent="0.25">
      <c r="A4" s="263">
        <v>1</v>
      </c>
      <c r="B4" s="265" t="s">
        <v>179</v>
      </c>
      <c r="C4" s="265" t="s">
        <v>368</v>
      </c>
      <c r="D4" s="265">
        <v>1</v>
      </c>
      <c r="E4" s="265" t="s">
        <v>334</v>
      </c>
      <c r="G4" s="265">
        <v>5.5</v>
      </c>
      <c r="H4" s="286" t="s">
        <v>345</v>
      </c>
      <c r="I4" s="286"/>
      <c r="J4" s="286"/>
      <c r="K4" s="286"/>
      <c r="L4" s="286"/>
      <c r="M4" s="286"/>
      <c r="N4" s="286"/>
      <c r="O4" s="286"/>
      <c r="P4" s="286"/>
      <c r="Q4" s="286"/>
      <c r="R4" s="286"/>
      <c r="S4" s="286"/>
    </row>
    <row r="5" spans="1:25" ht="18.75" x14ac:dyDescent="0.25">
      <c r="A5" s="263">
        <v>2</v>
      </c>
      <c r="B5" s="265" t="s">
        <v>179</v>
      </c>
      <c r="C5" s="265" t="s">
        <v>368</v>
      </c>
      <c r="D5" s="265">
        <v>1</v>
      </c>
      <c r="E5" s="265" t="s">
        <v>334</v>
      </c>
      <c r="G5" s="265">
        <v>5.5</v>
      </c>
      <c r="H5" s="286" t="s">
        <v>345</v>
      </c>
      <c r="I5" s="286"/>
      <c r="J5" s="286"/>
      <c r="K5" s="286"/>
      <c r="L5" s="286"/>
      <c r="M5" s="286"/>
      <c r="N5" s="286"/>
      <c r="O5" s="286"/>
      <c r="P5" s="286"/>
      <c r="Q5" s="286"/>
      <c r="R5" s="286"/>
      <c r="S5" s="286"/>
    </row>
    <row r="6" spans="1:25" ht="18.75" x14ac:dyDescent="0.25">
      <c r="A6" s="263">
        <v>3</v>
      </c>
      <c r="B6" s="265" t="s">
        <v>179</v>
      </c>
      <c r="C6" s="265" t="s">
        <v>368</v>
      </c>
      <c r="D6" s="265">
        <v>1</v>
      </c>
      <c r="E6" s="265" t="s">
        <v>334</v>
      </c>
      <c r="G6" s="265">
        <v>5.5</v>
      </c>
      <c r="H6" s="286" t="s">
        <v>345</v>
      </c>
      <c r="I6" s="286"/>
      <c r="J6" s="286"/>
      <c r="K6" s="286"/>
      <c r="L6" s="286"/>
      <c r="M6" s="286"/>
      <c r="N6" s="286"/>
      <c r="O6" s="286"/>
      <c r="P6" s="286"/>
      <c r="Q6" s="286"/>
      <c r="R6" s="286"/>
      <c r="S6" s="286"/>
    </row>
    <row r="7" spans="1:25" ht="18.75" x14ac:dyDescent="0.25">
      <c r="A7" s="263">
        <v>4</v>
      </c>
      <c r="B7" s="265" t="s">
        <v>329</v>
      </c>
      <c r="C7" s="265" t="s">
        <v>330</v>
      </c>
      <c r="D7" s="265">
        <v>1</v>
      </c>
      <c r="E7" s="265" t="s">
        <v>334</v>
      </c>
      <c r="G7" s="281">
        <v>5.8</v>
      </c>
      <c r="H7" s="286"/>
      <c r="I7" s="286"/>
      <c r="J7" s="286" t="s">
        <v>346</v>
      </c>
      <c r="K7" s="286"/>
      <c r="L7" s="286"/>
      <c r="M7" s="286"/>
      <c r="N7" s="286"/>
      <c r="O7" s="286"/>
      <c r="P7" s="286"/>
      <c r="Q7" s="286"/>
      <c r="R7" s="286"/>
      <c r="S7" s="286"/>
    </row>
    <row r="8" spans="1:25" ht="18.75" x14ac:dyDescent="0.25">
      <c r="A8" s="263">
        <v>5</v>
      </c>
      <c r="B8" s="265" t="s">
        <v>179</v>
      </c>
      <c r="C8" s="265" t="s">
        <v>331</v>
      </c>
      <c r="D8" s="265">
        <v>1</v>
      </c>
      <c r="E8" s="265" t="s">
        <v>334</v>
      </c>
      <c r="G8" s="265">
        <v>5.95</v>
      </c>
      <c r="H8" s="286"/>
      <c r="I8" s="286"/>
      <c r="J8" s="286"/>
      <c r="K8" s="286" t="s">
        <v>347</v>
      </c>
      <c r="L8" s="286"/>
      <c r="M8" s="286"/>
      <c r="N8" s="286"/>
      <c r="O8" s="286"/>
      <c r="P8" s="286"/>
      <c r="Q8" s="286"/>
      <c r="R8" s="286"/>
      <c r="S8" s="286"/>
    </row>
    <row r="9" spans="1:25" ht="18.75" x14ac:dyDescent="0.25">
      <c r="A9" s="263">
        <v>6</v>
      </c>
      <c r="B9" s="265" t="s">
        <v>179</v>
      </c>
      <c r="C9" s="265" t="s">
        <v>368</v>
      </c>
      <c r="D9" s="265">
        <v>1</v>
      </c>
      <c r="E9" s="265" t="s">
        <v>334</v>
      </c>
      <c r="G9" s="265">
        <v>5.95</v>
      </c>
      <c r="H9" s="286" t="s">
        <v>345</v>
      </c>
      <c r="I9" s="286"/>
      <c r="J9" s="286"/>
      <c r="K9" s="286"/>
      <c r="L9" s="286"/>
      <c r="M9" s="286"/>
      <c r="N9" s="286"/>
      <c r="O9" s="286"/>
      <c r="P9" s="286"/>
      <c r="Q9" s="286"/>
      <c r="R9" s="286"/>
      <c r="S9" s="286"/>
    </row>
    <row r="10" spans="1:25" ht="18.75" x14ac:dyDescent="0.25">
      <c r="A10" s="279">
        <v>7</v>
      </c>
      <c r="B10" s="265" t="s">
        <v>179</v>
      </c>
      <c r="C10" s="265" t="s">
        <v>331</v>
      </c>
      <c r="D10" s="265">
        <v>2</v>
      </c>
      <c r="E10" s="265" t="s">
        <v>334</v>
      </c>
      <c r="F10" s="265">
        <v>5.5</v>
      </c>
      <c r="G10" s="265">
        <v>4.05</v>
      </c>
      <c r="H10" s="286"/>
      <c r="I10" s="286"/>
      <c r="J10" s="286"/>
      <c r="K10" s="286"/>
      <c r="L10" s="286" t="s">
        <v>334</v>
      </c>
      <c r="M10" s="286"/>
      <c r="N10" s="286"/>
      <c r="O10" s="286"/>
      <c r="P10" s="286"/>
      <c r="Q10" s="286"/>
      <c r="R10" s="286"/>
      <c r="S10" s="286"/>
    </row>
    <row r="11" spans="1:25" ht="18.75" x14ac:dyDescent="0.25">
      <c r="A11" s="279">
        <v>8</v>
      </c>
      <c r="B11" s="265" t="s">
        <v>329</v>
      </c>
      <c r="C11" s="265" t="s">
        <v>330</v>
      </c>
      <c r="D11" s="265">
        <v>2</v>
      </c>
      <c r="E11" s="265" t="s">
        <v>334</v>
      </c>
      <c r="F11" s="265">
        <v>5.5</v>
      </c>
      <c r="G11" s="265">
        <v>4.05</v>
      </c>
      <c r="H11" s="286"/>
      <c r="I11" s="286"/>
      <c r="J11" s="286"/>
      <c r="K11" s="286"/>
      <c r="L11" s="286"/>
      <c r="M11" s="286"/>
      <c r="N11" s="286"/>
      <c r="O11" s="286" t="s">
        <v>349</v>
      </c>
      <c r="P11" s="286"/>
      <c r="Q11" s="286"/>
      <c r="R11" s="286"/>
      <c r="S11" s="286"/>
    </row>
    <row r="12" spans="1:25" ht="18.75" x14ac:dyDescent="0.25">
      <c r="A12" s="279">
        <v>9</v>
      </c>
      <c r="B12" s="265" t="s">
        <v>329</v>
      </c>
      <c r="C12" s="265" t="s">
        <v>330</v>
      </c>
      <c r="D12" s="265">
        <v>2</v>
      </c>
      <c r="E12" s="265" t="s">
        <v>334</v>
      </c>
      <c r="F12" s="265">
        <v>5.5</v>
      </c>
      <c r="G12" s="265">
        <v>4.05</v>
      </c>
      <c r="H12" s="286"/>
      <c r="I12" s="286"/>
      <c r="J12" s="286"/>
      <c r="K12" s="286"/>
      <c r="L12" s="286"/>
      <c r="N12" s="286"/>
      <c r="O12" s="286" t="s">
        <v>349</v>
      </c>
      <c r="P12" s="286"/>
      <c r="Q12" s="286"/>
      <c r="R12" s="286"/>
      <c r="S12" s="286"/>
    </row>
    <row r="13" spans="1:25" ht="18.75" x14ac:dyDescent="0.25">
      <c r="A13" s="284">
        <v>10</v>
      </c>
      <c r="B13" s="284" t="s">
        <v>329</v>
      </c>
      <c r="C13" s="284" t="s">
        <v>330</v>
      </c>
      <c r="D13" s="284">
        <v>2</v>
      </c>
      <c r="E13" s="284" t="s">
        <v>334</v>
      </c>
      <c r="F13" s="284">
        <v>5.6</v>
      </c>
      <c r="G13" s="284">
        <v>4.05</v>
      </c>
      <c r="H13" s="289"/>
      <c r="I13" s="289"/>
      <c r="J13" s="289"/>
      <c r="K13" s="289"/>
      <c r="L13" s="289"/>
      <c r="M13" s="289"/>
      <c r="N13" s="289"/>
      <c r="O13" s="289" t="s">
        <v>349</v>
      </c>
      <c r="P13" s="289"/>
      <c r="Q13" s="289"/>
      <c r="R13" s="289"/>
      <c r="S13" s="289"/>
      <c r="T13" s="287"/>
      <c r="U13" s="287"/>
      <c r="V13" s="287"/>
      <c r="W13" s="287"/>
      <c r="X13" s="287"/>
    </row>
    <row r="14" spans="1:25" ht="18.75" x14ac:dyDescent="0.25">
      <c r="A14" s="284">
        <v>11</v>
      </c>
      <c r="B14" s="284" t="s">
        <v>179</v>
      </c>
      <c r="C14" s="284" t="s">
        <v>331</v>
      </c>
      <c r="D14" s="284">
        <v>2</v>
      </c>
      <c r="E14" s="284" t="s">
        <v>334</v>
      </c>
      <c r="F14" s="284">
        <v>5.95</v>
      </c>
      <c r="G14" s="284">
        <v>5.3</v>
      </c>
      <c r="H14" s="289"/>
      <c r="I14" s="289"/>
      <c r="J14" s="289"/>
      <c r="K14" s="289"/>
      <c r="L14" s="289"/>
      <c r="M14" s="289" t="s">
        <v>0</v>
      </c>
      <c r="N14" s="289"/>
      <c r="O14" s="289"/>
      <c r="P14" s="289"/>
      <c r="Q14" s="289"/>
      <c r="R14" s="289"/>
      <c r="S14" s="289"/>
      <c r="T14" s="287"/>
      <c r="U14" s="287"/>
      <c r="V14" s="287"/>
      <c r="W14" s="287"/>
      <c r="X14" s="287"/>
    </row>
    <row r="15" spans="1:25" ht="18.75" x14ac:dyDescent="0.25">
      <c r="A15" s="279">
        <v>12</v>
      </c>
      <c r="B15" s="265" t="s">
        <v>329</v>
      </c>
      <c r="C15" s="265" t="s">
        <v>330</v>
      </c>
      <c r="D15" s="265">
        <v>2</v>
      </c>
      <c r="E15" s="265" t="s">
        <v>334</v>
      </c>
      <c r="F15" s="265">
        <v>5.95</v>
      </c>
      <c r="G15" s="265">
        <v>5.3</v>
      </c>
      <c r="H15" s="286"/>
      <c r="I15" s="286"/>
      <c r="J15" s="286"/>
      <c r="K15" s="286"/>
      <c r="L15" s="286"/>
      <c r="M15" s="286"/>
      <c r="N15" s="286"/>
      <c r="O15" s="286"/>
      <c r="P15" s="286" t="s">
        <v>350</v>
      </c>
      <c r="Q15" s="286"/>
      <c r="R15" s="286"/>
      <c r="S15" s="286"/>
    </row>
    <row r="16" spans="1:25" ht="18.75" x14ac:dyDescent="0.25">
      <c r="A16" s="280">
        <v>13</v>
      </c>
      <c r="B16" s="265" t="s">
        <v>329</v>
      </c>
      <c r="C16" s="265" t="s">
        <v>330</v>
      </c>
      <c r="D16" s="265">
        <v>1</v>
      </c>
      <c r="E16" s="265" t="s">
        <v>334</v>
      </c>
      <c r="F16" s="265">
        <v>4.05</v>
      </c>
      <c r="H16" s="286"/>
      <c r="I16" s="286"/>
      <c r="J16" s="286"/>
      <c r="K16" s="286"/>
      <c r="L16" s="286"/>
      <c r="M16" s="286"/>
      <c r="N16" s="286"/>
      <c r="O16" s="286"/>
      <c r="P16" s="286"/>
      <c r="Q16" s="286"/>
      <c r="R16" s="286" t="s">
        <v>327</v>
      </c>
      <c r="S16" s="286"/>
    </row>
    <row r="17" spans="1:48" ht="18.75" x14ac:dyDescent="0.25">
      <c r="A17" s="280">
        <v>14</v>
      </c>
      <c r="B17" s="265" t="s">
        <v>179</v>
      </c>
      <c r="C17" s="265" t="s">
        <v>331</v>
      </c>
      <c r="D17" s="265">
        <v>1</v>
      </c>
      <c r="E17" s="265" t="s">
        <v>334</v>
      </c>
      <c r="F17" s="265">
        <v>4.05</v>
      </c>
      <c r="H17" s="286"/>
      <c r="I17" s="286" t="s">
        <v>15</v>
      </c>
      <c r="J17" s="286"/>
      <c r="K17" s="286"/>
      <c r="L17" s="286"/>
      <c r="M17" s="286"/>
      <c r="N17" s="286"/>
      <c r="O17" s="286"/>
      <c r="P17" s="286"/>
      <c r="Q17" s="286"/>
      <c r="R17" s="286"/>
      <c r="T17" s="286"/>
    </row>
    <row r="18" spans="1:48" ht="18.75" x14ac:dyDescent="0.25">
      <c r="A18" s="280">
        <v>15</v>
      </c>
      <c r="B18" s="265" t="s">
        <v>179</v>
      </c>
      <c r="C18" s="265" t="s">
        <v>331</v>
      </c>
      <c r="D18" s="265">
        <v>1</v>
      </c>
      <c r="E18" s="265" t="s">
        <v>334</v>
      </c>
      <c r="F18" s="265">
        <v>4.05</v>
      </c>
      <c r="H18" s="286"/>
      <c r="I18" s="286" t="s">
        <v>15</v>
      </c>
      <c r="J18" s="286"/>
      <c r="K18" s="286"/>
      <c r="L18" s="286"/>
      <c r="M18" s="286"/>
      <c r="N18" s="286"/>
      <c r="O18" s="286"/>
      <c r="P18" s="286"/>
      <c r="Q18" s="286"/>
      <c r="R18" s="286"/>
      <c r="T18" s="286"/>
      <c r="U18" s="286"/>
    </row>
    <row r="19" spans="1:48" ht="18.75" x14ac:dyDescent="0.25">
      <c r="A19" s="284">
        <v>16</v>
      </c>
      <c r="B19" s="284" t="s">
        <v>329</v>
      </c>
      <c r="C19" s="284" t="s">
        <v>330</v>
      </c>
      <c r="D19" s="284" t="s">
        <v>363</v>
      </c>
      <c r="E19" s="284" t="s">
        <v>334</v>
      </c>
      <c r="F19" s="284">
        <v>4.05</v>
      </c>
      <c r="G19" s="284">
        <v>1.4</v>
      </c>
      <c r="H19" s="289"/>
      <c r="I19" s="289"/>
      <c r="J19" s="289"/>
      <c r="K19" s="289"/>
      <c r="L19" s="289"/>
      <c r="M19" s="289"/>
      <c r="N19" s="289"/>
      <c r="O19" s="289"/>
      <c r="P19" s="289"/>
      <c r="Q19" s="289"/>
      <c r="R19" s="289" t="s">
        <v>327</v>
      </c>
      <c r="S19" s="287"/>
      <c r="T19" s="289"/>
      <c r="U19" s="287"/>
      <c r="V19" s="287"/>
      <c r="W19" s="287"/>
      <c r="X19" s="287"/>
    </row>
    <row r="20" spans="1:48" ht="18.75" x14ac:dyDescent="0.25">
      <c r="A20" s="284">
        <v>17</v>
      </c>
      <c r="B20" s="284" t="s">
        <v>179</v>
      </c>
      <c r="C20" s="284" t="s">
        <v>331</v>
      </c>
      <c r="D20" s="284">
        <v>1</v>
      </c>
      <c r="E20" s="284" t="s">
        <v>339</v>
      </c>
      <c r="F20" s="284"/>
      <c r="G20" s="284">
        <v>4.05</v>
      </c>
      <c r="H20" s="289"/>
      <c r="I20" s="289"/>
      <c r="J20" s="289"/>
      <c r="K20" s="289"/>
      <c r="L20" s="289"/>
      <c r="M20" s="289"/>
      <c r="N20" s="289"/>
      <c r="O20" s="289"/>
      <c r="P20" s="289"/>
      <c r="Q20" s="289"/>
      <c r="R20" s="289"/>
      <c r="S20" s="289" t="s">
        <v>352</v>
      </c>
      <c r="T20" s="289"/>
      <c r="U20" s="287"/>
      <c r="V20" s="287"/>
      <c r="W20" s="287"/>
      <c r="X20" s="287"/>
    </row>
    <row r="21" spans="1:48" ht="18.75" x14ac:dyDescent="0.25">
      <c r="A21" s="284">
        <v>18</v>
      </c>
      <c r="B21" s="284" t="s">
        <v>179</v>
      </c>
      <c r="C21" s="284" t="s">
        <v>331</v>
      </c>
      <c r="D21" s="288" t="s">
        <v>335</v>
      </c>
      <c r="E21" s="284" t="s">
        <v>336</v>
      </c>
      <c r="F21" s="284">
        <v>5.3</v>
      </c>
      <c r="G21" s="284">
        <v>4.05</v>
      </c>
      <c r="H21" s="289"/>
      <c r="I21" s="289"/>
      <c r="J21" s="289"/>
      <c r="K21" s="289"/>
      <c r="L21" s="289"/>
      <c r="M21" s="289"/>
      <c r="N21" s="289"/>
      <c r="O21" s="289"/>
      <c r="P21" s="289"/>
      <c r="Q21" s="289"/>
      <c r="R21" s="289"/>
      <c r="S21" s="287"/>
      <c r="T21" s="289" t="s">
        <v>353</v>
      </c>
      <c r="U21" s="287"/>
      <c r="V21" s="287"/>
      <c r="W21" s="287"/>
      <c r="X21" s="287"/>
    </row>
    <row r="22" spans="1:48" ht="18.75" x14ac:dyDescent="0.25">
      <c r="A22" s="282">
        <v>19</v>
      </c>
      <c r="B22" s="265" t="s">
        <v>329</v>
      </c>
      <c r="C22" s="265" t="s">
        <v>330</v>
      </c>
      <c r="D22" s="265">
        <v>2</v>
      </c>
      <c r="E22" s="265" t="s">
        <v>334</v>
      </c>
      <c r="F22" s="265">
        <v>5.3</v>
      </c>
      <c r="G22" s="265">
        <v>4.05</v>
      </c>
      <c r="H22" s="286"/>
      <c r="I22" s="286"/>
      <c r="J22" s="286"/>
      <c r="K22" s="286"/>
      <c r="L22" s="286"/>
      <c r="M22" s="286"/>
      <c r="N22" s="286"/>
      <c r="O22" s="286" t="s">
        <v>349</v>
      </c>
      <c r="P22" s="286"/>
      <c r="Q22" s="286"/>
      <c r="S22" s="286"/>
    </row>
    <row r="23" spans="1:48" ht="18.75" x14ac:dyDescent="0.25">
      <c r="A23" s="284">
        <v>20</v>
      </c>
      <c r="B23" s="265" t="s">
        <v>329</v>
      </c>
      <c r="C23" s="265" t="s">
        <v>330</v>
      </c>
      <c r="D23" s="137" t="s">
        <v>335</v>
      </c>
      <c r="E23" s="265" t="s">
        <v>338</v>
      </c>
      <c r="F23" s="265">
        <v>4.05</v>
      </c>
      <c r="G23" s="265">
        <v>3.6</v>
      </c>
      <c r="H23" s="286"/>
      <c r="I23" s="286"/>
      <c r="J23" s="286"/>
      <c r="K23" s="286"/>
      <c r="L23" s="286"/>
      <c r="M23" s="286"/>
      <c r="N23" s="286"/>
      <c r="O23" s="286"/>
      <c r="P23" s="286"/>
      <c r="Q23" s="286"/>
      <c r="R23" s="286"/>
      <c r="S23" s="286"/>
      <c r="U23" s="286" t="s">
        <v>354</v>
      </c>
    </row>
    <row r="24" spans="1:48" ht="18.75" x14ac:dyDescent="0.25">
      <c r="A24" s="284">
        <v>21</v>
      </c>
      <c r="B24" s="265" t="s">
        <v>179</v>
      </c>
      <c r="C24" s="265" t="s">
        <v>331</v>
      </c>
      <c r="D24" s="137" t="s">
        <v>335</v>
      </c>
      <c r="E24" s="265" t="s">
        <v>338</v>
      </c>
      <c r="F24" s="265">
        <v>4.05</v>
      </c>
      <c r="G24" s="265">
        <v>3.6</v>
      </c>
      <c r="H24" s="286"/>
      <c r="I24" s="286"/>
      <c r="J24" s="286"/>
      <c r="K24" s="286"/>
      <c r="L24" s="286"/>
      <c r="M24" s="286"/>
      <c r="N24" s="286"/>
      <c r="O24" s="286"/>
      <c r="P24" s="286"/>
      <c r="Q24" s="286"/>
      <c r="R24" s="286"/>
      <c r="S24" s="286"/>
      <c r="V24" s="286" t="s">
        <v>364</v>
      </c>
    </row>
    <row r="25" spans="1:48" ht="18.75" x14ac:dyDescent="0.25">
      <c r="A25" s="284">
        <v>22</v>
      </c>
      <c r="B25" s="265" t="s">
        <v>329</v>
      </c>
      <c r="C25" s="265" t="s">
        <v>330</v>
      </c>
      <c r="D25" s="265">
        <v>2</v>
      </c>
      <c r="E25" s="265" t="s">
        <v>339</v>
      </c>
      <c r="F25" s="265">
        <v>4.05</v>
      </c>
      <c r="G25" s="265">
        <v>3.6</v>
      </c>
      <c r="H25" s="286"/>
      <c r="I25" s="286"/>
      <c r="J25" s="286"/>
      <c r="K25" s="286"/>
      <c r="L25" s="286"/>
      <c r="M25" s="286"/>
      <c r="N25" s="286"/>
      <c r="O25" s="286"/>
      <c r="P25" s="286"/>
      <c r="Q25" s="286"/>
      <c r="S25" s="286"/>
      <c r="W25" s="286" t="s">
        <v>365</v>
      </c>
    </row>
    <row r="26" spans="1:48" ht="18.75" x14ac:dyDescent="0.25">
      <c r="A26" s="283">
        <v>23</v>
      </c>
      <c r="B26" s="265" t="s">
        <v>329</v>
      </c>
      <c r="C26" s="265" t="s">
        <v>330</v>
      </c>
      <c r="D26" s="137" t="s">
        <v>335</v>
      </c>
      <c r="E26" s="265" t="s">
        <v>336</v>
      </c>
      <c r="F26" s="265">
        <v>3.6</v>
      </c>
      <c r="G26" s="265">
        <v>4.16</v>
      </c>
      <c r="H26" s="286"/>
      <c r="I26" s="286"/>
      <c r="J26" s="286"/>
      <c r="K26" s="286"/>
      <c r="L26" s="286"/>
      <c r="M26" s="286"/>
      <c r="N26" s="286"/>
      <c r="O26" s="286"/>
      <c r="P26" s="286"/>
      <c r="Q26" s="286"/>
      <c r="R26" s="286"/>
      <c r="S26" s="286"/>
      <c r="X26" s="286" t="s">
        <v>366</v>
      </c>
    </row>
    <row r="27" spans="1:48" ht="18.75" x14ac:dyDescent="0.25">
      <c r="A27" s="283">
        <v>24</v>
      </c>
      <c r="B27" s="265" t="s">
        <v>179</v>
      </c>
      <c r="C27" s="265" t="s">
        <v>331</v>
      </c>
      <c r="D27" s="265">
        <v>2</v>
      </c>
      <c r="E27" s="265" t="s">
        <v>334</v>
      </c>
      <c r="F27" s="265">
        <v>3.6</v>
      </c>
      <c r="G27" s="265">
        <v>4.1500000000000004</v>
      </c>
      <c r="H27" s="286"/>
      <c r="I27" s="286"/>
      <c r="J27" s="286"/>
      <c r="K27" s="286"/>
      <c r="L27" s="286"/>
      <c r="M27" s="286"/>
      <c r="N27" s="286" t="s">
        <v>348</v>
      </c>
      <c r="O27" s="286"/>
      <c r="P27" s="286"/>
      <c r="Q27" s="286"/>
      <c r="R27" s="286"/>
      <c r="S27" s="286"/>
    </row>
    <row r="28" spans="1:48" ht="18.75" x14ac:dyDescent="0.25">
      <c r="A28" s="283">
        <v>25</v>
      </c>
      <c r="B28" s="265" t="s">
        <v>329</v>
      </c>
      <c r="C28" s="265" t="s">
        <v>330</v>
      </c>
      <c r="D28" s="265">
        <v>2</v>
      </c>
      <c r="E28" s="265" t="s">
        <v>334</v>
      </c>
      <c r="F28" s="265">
        <v>3.6</v>
      </c>
      <c r="G28" s="265">
        <v>4.1500000000000004</v>
      </c>
      <c r="H28" s="286"/>
      <c r="I28" s="286"/>
      <c r="J28" s="286"/>
      <c r="K28" s="286"/>
      <c r="L28" s="286"/>
      <c r="M28" s="286"/>
      <c r="N28" s="286"/>
      <c r="O28" s="286"/>
      <c r="P28" s="286"/>
      <c r="Q28" s="286" t="s">
        <v>351</v>
      </c>
      <c r="S28" s="286"/>
    </row>
    <row r="29" spans="1:48" ht="18.75" x14ac:dyDescent="0.25">
      <c r="A29" s="285">
        <v>26</v>
      </c>
      <c r="B29" s="265" t="s">
        <v>329</v>
      </c>
      <c r="C29" s="265" t="s">
        <v>330</v>
      </c>
      <c r="D29" s="265">
        <v>1</v>
      </c>
      <c r="E29" s="265" t="s">
        <v>339</v>
      </c>
      <c r="F29" s="265">
        <v>4.16</v>
      </c>
      <c r="G29" s="265"/>
      <c r="H29" s="286"/>
      <c r="I29" s="286"/>
      <c r="J29" s="286"/>
      <c r="K29" s="286"/>
      <c r="L29" s="286"/>
      <c r="M29" s="286"/>
      <c r="N29" s="286"/>
      <c r="O29" s="286"/>
      <c r="P29" s="286"/>
      <c r="Q29" s="286"/>
      <c r="R29" s="286"/>
      <c r="S29" s="286"/>
      <c r="Y29" s="286" t="s">
        <v>367</v>
      </c>
    </row>
    <row r="30" spans="1:48" ht="18.75" x14ac:dyDescent="0.25">
      <c r="A30" s="285">
        <v>27</v>
      </c>
      <c r="B30" s="265" t="s">
        <v>179</v>
      </c>
      <c r="C30" s="265" t="s">
        <v>331</v>
      </c>
      <c r="D30" s="265">
        <v>1</v>
      </c>
      <c r="E30" s="265" t="s">
        <v>334</v>
      </c>
      <c r="F30" s="265">
        <v>4.1500000000000004</v>
      </c>
      <c r="G30" s="265"/>
      <c r="H30" s="286"/>
      <c r="I30" s="286" t="s">
        <v>15</v>
      </c>
      <c r="J30" s="286"/>
      <c r="K30" s="286"/>
      <c r="L30" s="286"/>
      <c r="M30" s="286"/>
      <c r="N30" s="286"/>
      <c r="O30" s="286"/>
      <c r="P30" s="286"/>
      <c r="Q30" s="286"/>
      <c r="R30" s="286"/>
      <c r="S30" s="286"/>
      <c r="AU30" s="318" t="s">
        <v>0</v>
      </c>
      <c r="AV30">
        <v>10.56</v>
      </c>
    </row>
    <row r="31" spans="1:48" ht="18.75" x14ac:dyDescent="0.25">
      <c r="A31" s="285">
        <v>28</v>
      </c>
      <c r="B31" s="265" t="s">
        <v>329</v>
      </c>
      <c r="C31" s="265" t="s">
        <v>330</v>
      </c>
      <c r="D31" s="265">
        <v>1</v>
      </c>
      <c r="E31" s="265" t="s">
        <v>334</v>
      </c>
      <c r="F31" s="265">
        <v>4.1500000000000004</v>
      </c>
      <c r="G31" s="265"/>
      <c r="H31" s="286"/>
      <c r="I31" s="286"/>
      <c r="J31" s="286"/>
      <c r="K31" s="286"/>
      <c r="L31" s="286"/>
      <c r="M31" s="286"/>
      <c r="N31" s="286"/>
      <c r="O31" s="286"/>
      <c r="P31" s="286"/>
      <c r="Q31" s="286"/>
      <c r="R31" s="286" t="s">
        <v>327</v>
      </c>
      <c r="S31" s="286"/>
      <c r="U31" s="286"/>
      <c r="AU31" s="318" t="s">
        <v>349</v>
      </c>
      <c r="AV31">
        <v>26.63</v>
      </c>
    </row>
    <row r="32" spans="1:48" ht="18.75" x14ac:dyDescent="0.25">
      <c r="A32" s="286"/>
      <c r="AU32" s="318" t="s">
        <v>327</v>
      </c>
      <c r="AV32">
        <v>19.09</v>
      </c>
    </row>
    <row r="33" spans="1:49" x14ac:dyDescent="0.25">
      <c r="AU33" s="318" t="s">
        <v>352</v>
      </c>
      <c r="AV33">
        <v>3.66</v>
      </c>
    </row>
    <row r="34" spans="1:49" x14ac:dyDescent="0.25">
      <c r="AU34" t="s">
        <v>353</v>
      </c>
      <c r="AV34">
        <v>9.3000000000000007</v>
      </c>
    </row>
    <row r="35" spans="1:49" x14ac:dyDescent="0.25">
      <c r="A35" s="397" t="s">
        <v>2</v>
      </c>
      <c r="B35" s="397"/>
      <c r="C35" s="397"/>
      <c r="D35" s="397"/>
      <c r="E35" s="397"/>
      <c r="F35" s="397"/>
      <c r="G35" s="397"/>
      <c r="H35" s="397"/>
      <c r="I35" s="397"/>
      <c r="K35" s="411" t="s">
        <v>358</v>
      </c>
      <c r="L35" s="411"/>
      <c r="M35" s="411"/>
      <c r="N35" s="411"/>
      <c r="O35" s="411"/>
      <c r="P35" s="411"/>
      <c r="Q35" s="411"/>
      <c r="R35" s="411"/>
      <c r="S35" s="411"/>
      <c r="U35" s="411" t="s">
        <v>328</v>
      </c>
      <c r="V35" s="411"/>
      <c r="W35" s="411"/>
      <c r="X35" s="411"/>
      <c r="Y35" s="411"/>
      <c r="Z35" s="411"/>
      <c r="AA35" s="411"/>
      <c r="AB35" s="411"/>
      <c r="AC35" s="411"/>
      <c r="AE35" s="411" t="s">
        <v>487</v>
      </c>
      <c r="AF35" s="411"/>
      <c r="AG35" s="411"/>
      <c r="AH35" s="411"/>
      <c r="AI35" s="411"/>
      <c r="AJ35" s="411"/>
      <c r="AK35" s="411"/>
      <c r="AL35" s="411"/>
      <c r="AM35" s="411"/>
      <c r="AO35" s="411" t="s">
        <v>357</v>
      </c>
      <c r="AP35" s="411"/>
      <c r="AQ35" s="411"/>
      <c r="AR35" s="411"/>
      <c r="AS35" s="411"/>
      <c r="AT35" s="411"/>
      <c r="AU35" s="411"/>
      <c r="AV35" s="411"/>
      <c r="AW35" s="411"/>
    </row>
    <row r="36" spans="1:49" ht="45" x14ac:dyDescent="0.25">
      <c r="A36" s="265" t="s">
        <v>344</v>
      </c>
      <c r="B36" s="265" t="s">
        <v>324</v>
      </c>
      <c r="C36" s="265" t="s">
        <v>333</v>
      </c>
      <c r="D36" s="265" t="s">
        <v>332</v>
      </c>
      <c r="E36" s="152" t="s">
        <v>360</v>
      </c>
      <c r="F36" s="152" t="s">
        <v>355</v>
      </c>
      <c r="G36" s="152" t="s">
        <v>356</v>
      </c>
      <c r="H36" s="152" t="s">
        <v>359</v>
      </c>
      <c r="I36" s="152" t="s">
        <v>359</v>
      </c>
      <c r="K36" s="265" t="s">
        <v>344</v>
      </c>
      <c r="L36" s="265" t="s">
        <v>324</v>
      </c>
      <c r="M36" s="265" t="s">
        <v>333</v>
      </c>
      <c r="N36" s="265" t="s">
        <v>332</v>
      </c>
      <c r="O36" s="152" t="s">
        <v>360</v>
      </c>
      <c r="P36" s="152" t="s">
        <v>355</v>
      </c>
      <c r="Q36" s="152" t="s">
        <v>356</v>
      </c>
      <c r="R36" s="152" t="s">
        <v>359</v>
      </c>
      <c r="S36" s="152" t="s">
        <v>359</v>
      </c>
      <c r="U36" s="265" t="s">
        <v>344</v>
      </c>
      <c r="V36" s="265" t="s">
        <v>324</v>
      </c>
      <c r="W36" s="265" t="s">
        <v>333</v>
      </c>
      <c r="X36" s="265" t="s">
        <v>332</v>
      </c>
      <c r="Y36" s="152" t="s">
        <v>360</v>
      </c>
      <c r="Z36" s="152" t="s">
        <v>355</v>
      </c>
      <c r="AA36" s="152" t="s">
        <v>356</v>
      </c>
      <c r="AB36" s="152" t="s">
        <v>359</v>
      </c>
      <c r="AC36" s="152" t="s">
        <v>359</v>
      </c>
      <c r="AE36" s="370" t="s">
        <v>344</v>
      </c>
      <c r="AF36" s="370" t="s">
        <v>324</v>
      </c>
      <c r="AG36" s="370" t="s">
        <v>333</v>
      </c>
      <c r="AH36" s="370" t="s">
        <v>332</v>
      </c>
      <c r="AI36" s="372" t="s">
        <v>360</v>
      </c>
      <c r="AJ36" s="372" t="s">
        <v>355</v>
      </c>
      <c r="AK36" s="372" t="s">
        <v>356</v>
      </c>
      <c r="AL36" s="372" t="s">
        <v>359</v>
      </c>
      <c r="AM36" s="372" t="s">
        <v>359</v>
      </c>
      <c r="AO36" s="327" t="s">
        <v>344</v>
      </c>
      <c r="AP36" s="327" t="s">
        <v>324</v>
      </c>
      <c r="AQ36" s="327" t="s">
        <v>333</v>
      </c>
      <c r="AR36" s="327" t="s">
        <v>332</v>
      </c>
      <c r="AS36" s="329" t="s">
        <v>360</v>
      </c>
      <c r="AT36" s="329" t="s">
        <v>355</v>
      </c>
      <c r="AU36" s="329" t="s">
        <v>356</v>
      </c>
      <c r="AV36" s="329" t="s">
        <v>359</v>
      </c>
      <c r="AW36" s="329" t="s">
        <v>359</v>
      </c>
    </row>
    <row r="37" spans="1:49" x14ac:dyDescent="0.25">
      <c r="A37" s="265" t="s">
        <v>349</v>
      </c>
      <c r="B37" s="281" t="s">
        <v>398</v>
      </c>
      <c r="C37" s="265">
        <v>1</v>
      </c>
      <c r="D37" s="265" t="s">
        <v>334</v>
      </c>
      <c r="E37" s="265">
        <v>1</v>
      </c>
      <c r="F37" s="265"/>
      <c r="G37" s="265">
        <f>G13</f>
        <v>4.05</v>
      </c>
      <c r="H37" s="265">
        <v>20.56</v>
      </c>
      <c r="I37" s="265">
        <f>H37*E37</f>
        <v>20.56</v>
      </c>
      <c r="K37" s="265" t="s">
        <v>345</v>
      </c>
      <c r="L37" s="265" t="s">
        <v>370</v>
      </c>
      <c r="M37" s="265">
        <v>1</v>
      </c>
      <c r="N37" s="265" t="s">
        <v>334</v>
      </c>
      <c r="O37" s="265">
        <v>4</v>
      </c>
      <c r="P37" s="265"/>
      <c r="Q37" s="265">
        <f>AVERAGE($G$4,$G$5,$G$6,$G$9)</f>
        <v>5.6124999999999998</v>
      </c>
      <c r="R37">
        <v>8.69</v>
      </c>
      <c r="S37">
        <f>R37*O37</f>
        <v>34.76</v>
      </c>
      <c r="U37" s="265" t="s">
        <v>345</v>
      </c>
      <c r="V37" s="265" t="s">
        <v>370</v>
      </c>
      <c r="W37" s="265">
        <v>1</v>
      </c>
      <c r="X37" s="265" t="s">
        <v>334</v>
      </c>
      <c r="Y37" s="265">
        <v>4</v>
      </c>
      <c r="Z37" s="265"/>
      <c r="AA37" s="265">
        <f>AVERAGE($G$4,$G$5,$G$6,$G$9)</f>
        <v>5.6124999999999998</v>
      </c>
      <c r="AB37" s="265">
        <v>10.199999999999999</v>
      </c>
      <c r="AC37" s="265">
        <f>AB37*Y37</f>
        <v>40.799999999999997</v>
      </c>
      <c r="AE37" s="370" t="s">
        <v>345</v>
      </c>
      <c r="AF37" s="370" t="s">
        <v>370</v>
      </c>
      <c r="AG37" s="370">
        <v>1</v>
      </c>
      <c r="AH37" s="370" t="s">
        <v>334</v>
      </c>
      <c r="AI37" s="370">
        <v>4</v>
      </c>
      <c r="AJ37" s="370"/>
      <c r="AK37" s="370">
        <f>AVERAGE($G$4,$G$5,$G$6,$G$9)</f>
        <v>5.6124999999999998</v>
      </c>
      <c r="AL37" s="370">
        <v>10.199999999999999</v>
      </c>
      <c r="AM37" s="370">
        <f>AL37*AI37</f>
        <v>40.799999999999997</v>
      </c>
      <c r="AO37" s="327" t="s">
        <v>345</v>
      </c>
      <c r="AP37" s="284" t="s">
        <v>467</v>
      </c>
      <c r="AQ37" s="327">
        <v>1</v>
      </c>
      <c r="AR37" s="327" t="s">
        <v>334</v>
      </c>
      <c r="AS37" s="327">
        <v>4</v>
      </c>
      <c r="AT37" s="327"/>
      <c r="AU37" s="327">
        <f>AVERAGE($G$4,$G$5,$G$6,$G$9)</f>
        <v>5.6124999999999998</v>
      </c>
      <c r="AV37" s="327">
        <v>9.6</v>
      </c>
      <c r="AW37" s="327">
        <f>AV37*AS37</f>
        <v>38.4</v>
      </c>
    </row>
    <row r="38" spans="1:49" x14ac:dyDescent="0.25">
      <c r="A38" s="265" t="s">
        <v>0</v>
      </c>
      <c r="B38" s="281" t="s">
        <v>397</v>
      </c>
      <c r="C38" s="265">
        <v>1</v>
      </c>
      <c r="D38" s="265" t="s">
        <v>334</v>
      </c>
      <c r="E38" s="265">
        <v>1</v>
      </c>
      <c r="F38" s="265"/>
      <c r="G38" s="265">
        <f>G14</f>
        <v>5.3</v>
      </c>
      <c r="H38" s="265">
        <v>8.92</v>
      </c>
      <c r="I38" s="265">
        <f t="shared" ref="I38:I41" si="0">H38*E38</f>
        <v>8.92</v>
      </c>
      <c r="K38" s="265" t="s">
        <v>15</v>
      </c>
      <c r="L38" s="265" t="s">
        <v>370</v>
      </c>
      <c r="M38" s="265">
        <v>1</v>
      </c>
      <c r="N38" s="265" t="s">
        <v>334</v>
      </c>
      <c r="O38" s="265">
        <v>3</v>
      </c>
      <c r="P38" s="265">
        <f>AVERAGE($F$17,$F$18,$F$30)</f>
        <v>4.083333333333333</v>
      </c>
      <c r="Q38" s="265"/>
      <c r="R38">
        <v>9.15</v>
      </c>
      <c r="S38">
        <f t="shared" ref="S38:S54" si="1">R38*O38</f>
        <v>27.450000000000003</v>
      </c>
      <c r="U38" s="265" t="s">
        <v>15</v>
      </c>
      <c r="V38" s="265" t="s">
        <v>370</v>
      </c>
      <c r="W38" s="265">
        <v>1</v>
      </c>
      <c r="X38" s="265" t="s">
        <v>334</v>
      </c>
      <c r="Y38" s="265">
        <v>3</v>
      </c>
      <c r="Z38" s="265">
        <f>AVERAGE($F$17,$F$18,$F$30)</f>
        <v>4.083333333333333</v>
      </c>
      <c r="AA38" s="265"/>
      <c r="AB38" s="265">
        <v>11.39</v>
      </c>
      <c r="AC38" s="265">
        <f t="shared" ref="AC38:AC54" si="2">AB38*Y38</f>
        <v>34.17</v>
      </c>
      <c r="AE38" s="370" t="s">
        <v>15</v>
      </c>
      <c r="AF38" s="370" t="s">
        <v>370</v>
      </c>
      <c r="AG38" s="370">
        <v>1</v>
      </c>
      <c r="AH38" s="370" t="s">
        <v>334</v>
      </c>
      <c r="AI38" s="370">
        <v>3</v>
      </c>
      <c r="AJ38" s="370">
        <f>AVERAGE($F$17,$F$18,$F$30)</f>
        <v>4.083333333333333</v>
      </c>
      <c r="AK38" s="370"/>
      <c r="AL38" s="370">
        <v>11.39</v>
      </c>
      <c r="AM38" s="370">
        <f t="shared" ref="AM38:AM54" si="3">AL38*AI38</f>
        <v>34.17</v>
      </c>
      <c r="AO38" s="327" t="s">
        <v>15</v>
      </c>
      <c r="AP38" s="284" t="s">
        <v>467</v>
      </c>
      <c r="AQ38" s="327">
        <v>1</v>
      </c>
      <c r="AR38" s="327" t="s">
        <v>334</v>
      </c>
      <c r="AS38" s="327">
        <v>3</v>
      </c>
      <c r="AT38" s="327">
        <f>AVERAGE($F$17,$F$18,$F$30)</f>
        <v>4.083333333333333</v>
      </c>
      <c r="AU38" s="327"/>
      <c r="AV38" s="327">
        <v>10.53</v>
      </c>
      <c r="AW38" s="327">
        <f t="shared" ref="AW38:AW54" si="4">AV38*AS38</f>
        <v>31.589999999999996</v>
      </c>
    </row>
    <row r="39" spans="1:49" x14ac:dyDescent="0.25">
      <c r="A39" s="265" t="s">
        <v>327</v>
      </c>
      <c r="B39" s="281" t="s">
        <v>398</v>
      </c>
      <c r="C39" s="265" t="s">
        <v>363</v>
      </c>
      <c r="D39" s="265" t="s">
        <v>334</v>
      </c>
      <c r="E39" s="265">
        <v>1</v>
      </c>
      <c r="F39" s="265">
        <f>F19</f>
        <v>4.05</v>
      </c>
      <c r="G39" s="265">
        <f>G19</f>
        <v>1.4</v>
      </c>
      <c r="H39" s="265">
        <v>20.56</v>
      </c>
      <c r="I39" s="265">
        <f t="shared" si="0"/>
        <v>20.56</v>
      </c>
      <c r="K39" s="281" t="s">
        <v>346</v>
      </c>
      <c r="L39" s="265" t="s">
        <v>369</v>
      </c>
      <c r="M39" s="265">
        <v>1</v>
      </c>
      <c r="N39" s="265" t="s">
        <v>334</v>
      </c>
      <c r="O39" s="265">
        <v>1</v>
      </c>
      <c r="P39" s="265"/>
      <c r="Q39" s="265">
        <f>$G$7</f>
        <v>5.8</v>
      </c>
      <c r="R39">
        <v>29.36</v>
      </c>
      <c r="S39">
        <f t="shared" si="1"/>
        <v>29.36</v>
      </c>
      <c r="U39" s="281" t="s">
        <v>346</v>
      </c>
      <c r="V39" s="265" t="s">
        <v>369</v>
      </c>
      <c r="W39" s="265">
        <v>1</v>
      </c>
      <c r="X39" s="265" t="s">
        <v>334</v>
      </c>
      <c r="Y39" s="265">
        <v>1</v>
      </c>
      <c r="Z39" s="265"/>
      <c r="AA39" s="265">
        <f>$G$7</f>
        <v>5.8</v>
      </c>
      <c r="AB39" s="265">
        <v>19.98</v>
      </c>
      <c r="AC39" s="265">
        <f t="shared" si="2"/>
        <v>19.98</v>
      </c>
      <c r="AE39" s="371" t="s">
        <v>346</v>
      </c>
      <c r="AF39" s="370" t="s">
        <v>369</v>
      </c>
      <c r="AG39" s="370">
        <v>1</v>
      </c>
      <c r="AH39" s="370" t="s">
        <v>334</v>
      </c>
      <c r="AI39" s="370">
        <v>1</v>
      </c>
      <c r="AJ39" s="370"/>
      <c r="AK39" s="370">
        <f>$G$7</f>
        <v>5.8</v>
      </c>
      <c r="AL39" s="370">
        <v>19.98</v>
      </c>
      <c r="AM39" s="370">
        <f t="shared" si="3"/>
        <v>19.98</v>
      </c>
      <c r="AO39" s="281" t="s">
        <v>346</v>
      </c>
      <c r="AP39" s="311" t="s">
        <v>468</v>
      </c>
      <c r="AQ39" s="327">
        <v>1</v>
      </c>
      <c r="AR39" s="327" t="s">
        <v>334</v>
      </c>
      <c r="AS39" s="327">
        <v>1</v>
      </c>
      <c r="AT39" s="327"/>
      <c r="AU39" s="327">
        <f>$G$7</f>
        <v>5.8</v>
      </c>
      <c r="AV39" s="327">
        <v>19.09</v>
      </c>
      <c r="AW39" s="327">
        <f t="shared" si="4"/>
        <v>19.09</v>
      </c>
    </row>
    <row r="40" spans="1:49" x14ac:dyDescent="0.25">
      <c r="A40" s="265" t="s">
        <v>352</v>
      </c>
      <c r="B40" s="281" t="s">
        <v>397</v>
      </c>
      <c r="C40" s="265"/>
      <c r="D40" s="265"/>
      <c r="E40" s="265"/>
      <c r="F40" s="265"/>
      <c r="G40" s="265"/>
      <c r="H40" s="265"/>
      <c r="I40" s="265">
        <f t="shared" si="0"/>
        <v>0</v>
      </c>
      <c r="K40" s="265" t="s">
        <v>347</v>
      </c>
      <c r="L40" s="265" t="s">
        <v>370</v>
      </c>
      <c r="M40" s="265">
        <v>1</v>
      </c>
      <c r="N40" s="265" t="s">
        <v>334</v>
      </c>
      <c r="O40" s="265">
        <v>1</v>
      </c>
      <c r="P40" s="265"/>
      <c r="Q40" s="265">
        <f>$G$8</f>
        <v>5.95</v>
      </c>
      <c r="R40">
        <v>8.59</v>
      </c>
      <c r="S40">
        <f t="shared" si="1"/>
        <v>8.59</v>
      </c>
      <c r="U40" s="265" t="s">
        <v>347</v>
      </c>
      <c r="V40" s="265" t="s">
        <v>370</v>
      </c>
      <c r="W40" s="265">
        <v>1</v>
      </c>
      <c r="X40" s="265" t="s">
        <v>334</v>
      </c>
      <c r="Y40" s="265">
        <v>1</v>
      </c>
      <c r="Z40" s="265"/>
      <c r="AA40" s="265">
        <f>$G$8</f>
        <v>5.95</v>
      </c>
      <c r="AB40" s="265">
        <v>9.9700000000000006</v>
      </c>
      <c r="AC40" s="265">
        <f t="shared" si="2"/>
        <v>9.9700000000000006</v>
      </c>
      <c r="AE40" s="370" t="s">
        <v>347</v>
      </c>
      <c r="AF40" s="370" t="s">
        <v>370</v>
      </c>
      <c r="AG40" s="370">
        <v>1</v>
      </c>
      <c r="AH40" s="370" t="s">
        <v>334</v>
      </c>
      <c r="AI40" s="370">
        <v>1</v>
      </c>
      <c r="AJ40" s="370"/>
      <c r="AK40" s="370">
        <f>$G$8</f>
        <v>5.95</v>
      </c>
      <c r="AL40" s="370">
        <v>9.9700000000000006</v>
      </c>
      <c r="AM40" s="370">
        <f t="shared" si="3"/>
        <v>9.9700000000000006</v>
      </c>
      <c r="AO40" s="327" t="s">
        <v>347</v>
      </c>
      <c r="AP40" s="284" t="s">
        <v>467</v>
      </c>
      <c r="AQ40" s="327">
        <v>1</v>
      </c>
      <c r="AR40" s="327" t="s">
        <v>334</v>
      </c>
      <c r="AS40" s="327">
        <v>1</v>
      </c>
      <c r="AT40" s="327"/>
      <c r="AU40" s="327">
        <f>$G$8</f>
        <v>5.95</v>
      </c>
      <c r="AV40" s="327">
        <v>9.41</v>
      </c>
      <c r="AW40" s="327">
        <f t="shared" si="4"/>
        <v>9.41</v>
      </c>
    </row>
    <row r="41" spans="1:49" x14ac:dyDescent="0.25">
      <c r="A41" s="265" t="s">
        <v>353</v>
      </c>
      <c r="B41" s="281" t="s">
        <v>397</v>
      </c>
      <c r="C41" s="265">
        <v>1</v>
      </c>
      <c r="D41" s="265" t="s">
        <v>334</v>
      </c>
      <c r="E41" s="265">
        <v>1</v>
      </c>
      <c r="F41" s="265">
        <f>F21</f>
        <v>5.3</v>
      </c>
      <c r="G41" s="265"/>
      <c r="H41" s="265">
        <v>8.92</v>
      </c>
      <c r="I41" s="265">
        <f t="shared" si="0"/>
        <v>8.92</v>
      </c>
      <c r="K41" s="265" t="s">
        <v>334</v>
      </c>
      <c r="L41" s="265" t="s">
        <v>370</v>
      </c>
      <c r="M41" s="265">
        <v>2</v>
      </c>
      <c r="N41" s="265" t="s">
        <v>334</v>
      </c>
      <c r="O41" s="265">
        <v>1</v>
      </c>
      <c r="P41" s="265">
        <f>$F$10</f>
        <v>5.5</v>
      </c>
      <c r="Q41" s="265">
        <f>$G$10</f>
        <v>4.05</v>
      </c>
      <c r="R41">
        <v>9.7899999999999991</v>
      </c>
      <c r="S41">
        <f t="shared" si="1"/>
        <v>9.7899999999999991</v>
      </c>
      <c r="U41" s="265" t="s">
        <v>334</v>
      </c>
      <c r="V41" s="265" t="s">
        <v>370</v>
      </c>
      <c r="W41" s="265">
        <v>2</v>
      </c>
      <c r="X41" s="265" t="s">
        <v>334</v>
      </c>
      <c r="Y41" s="265">
        <v>1</v>
      </c>
      <c r="Z41" s="265">
        <f>$F$10</f>
        <v>5.5</v>
      </c>
      <c r="AA41" s="265">
        <f>$G$10</f>
        <v>4.05</v>
      </c>
      <c r="AB41" s="265">
        <v>13.15</v>
      </c>
      <c r="AC41" s="265">
        <f t="shared" si="2"/>
        <v>13.15</v>
      </c>
      <c r="AE41" s="370" t="s">
        <v>334</v>
      </c>
      <c r="AF41" s="370" t="s">
        <v>370</v>
      </c>
      <c r="AG41" s="370">
        <v>2</v>
      </c>
      <c r="AH41" s="370" t="s">
        <v>334</v>
      </c>
      <c r="AI41" s="370">
        <v>1</v>
      </c>
      <c r="AJ41" s="370">
        <f>$F$10</f>
        <v>5.5</v>
      </c>
      <c r="AK41" s="370">
        <f>$G$10</f>
        <v>4.05</v>
      </c>
      <c r="AL41" s="370">
        <v>13.15</v>
      </c>
      <c r="AM41" s="370">
        <f t="shared" si="3"/>
        <v>13.15</v>
      </c>
      <c r="AO41" s="327" t="s">
        <v>334</v>
      </c>
      <c r="AP41" s="312" t="s">
        <v>467</v>
      </c>
      <c r="AQ41" s="327">
        <v>2</v>
      </c>
      <c r="AR41" s="327" t="s">
        <v>334</v>
      </c>
      <c r="AS41" s="327">
        <v>1</v>
      </c>
      <c r="AT41" s="327">
        <f>$F$10</f>
        <v>5.5</v>
      </c>
      <c r="AU41" s="327">
        <f>$G$10</f>
        <v>4.05</v>
      </c>
      <c r="AV41" s="327">
        <v>11.84</v>
      </c>
      <c r="AW41" s="327">
        <f t="shared" si="4"/>
        <v>11.84</v>
      </c>
    </row>
    <row r="42" spans="1:49" x14ac:dyDescent="0.25">
      <c r="A42" s="265" t="s">
        <v>33</v>
      </c>
      <c r="I42" s="265">
        <f>SUM(I37:I41)</f>
        <v>58.959999999999994</v>
      </c>
      <c r="K42" s="265" t="s">
        <v>0</v>
      </c>
      <c r="L42" s="265" t="s">
        <v>370</v>
      </c>
      <c r="M42" s="265">
        <v>2</v>
      </c>
      <c r="N42" s="265" t="s">
        <v>334</v>
      </c>
      <c r="O42" s="265">
        <v>1</v>
      </c>
      <c r="P42" s="265">
        <f>$F$14</f>
        <v>5.95</v>
      </c>
      <c r="Q42" s="265">
        <f>$G$14</f>
        <v>5.3</v>
      </c>
      <c r="R42">
        <v>9.6</v>
      </c>
      <c r="S42">
        <f t="shared" si="1"/>
        <v>9.6</v>
      </c>
      <c r="U42" s="265" t="s">
        <v>0</v>
      </c>
      <c r="V42" s="265" t="s">
        <v>370</v>
      </c>
      <c r="W42" s="265">
        <v>2</v>
      </c>
      <c r="X42" s="265" t="s">
        <v>334</v>
      </c>
      <c r="Y42" s="265">
        <v>1</v>
      </c>
      <c r="Z42" s="265">
        <f>$F$14</f>
        <v>5.95</v>
      </c>
      <c r="AA42" s="265">
        <f>$G$14</f>
        <v>5.3</v>
      </c>
      <c r="AB42" s="265">
        <v>12.63</v>
      </c>
      <c r="AC42" s="265">
        <f t="shared" si="2"/>
        <v>12.63</v>
      </c>
      <c r="AE42" s="370" t="s">
        <v>0</v>
      </c>
      <c r="AF42" s="370" t="s">
        <v>370</v>
      </c>
      <c r="AG42" s="370">
        <v>2</v>
      </c>
      <c r="AH42" s="370" t="s">
        <v>334</v>
      </c>
      <c r="AI42" s="370">
        <v>1</v>
      </c>
      <c r="AJ42" s="370">
        <f>$F$14</f>
        <v>5.95</v>
      </c>
      <c r="AK42" s="370">
        <f>$G$14</f>
        <v>5.3</v>
      </c>
      <c r="AL42" s="370">
        <v>12.63</v>
      </c>
      <c r="AM42" s="370">
        <f t="shared" si="3"/>
        <v>12.63</v>
      </c>
      <c r="AO42" s="327" t="s">
        <v>0</v>
      </c>
      <c r="AP42" s="312" t="s">
        <v>467</v>
      </c>
      <c r="AQ42" s="327">
        <v>2</v>
      </c>
      <c r="AR42" s="327" t="s">
        <v>334</v>
      </c>
      <c r="AS42" s="327">
        <v>0</v>
      </c>
      <c r="AT42" s="327">
        <f>$F$14</f>
        <v>5.95</v>
      </c>
      <c r="AU42" s="327">
        <f>$G$14</f>
        <v>5.3</v>
      </c>
      <c r="AV42" s="327">
        <v>11.45</v>
      </c>
      <c r="AW42" s="327">
        <f t="shared" si="4"/>
        <v>0</v>
      </c>
    </row>
    <row r="43" spans="1:49" x14ac:dyDescent="0.25">
      <c r="K43" s="265" t="s">
        <v>348</v>
      </c>
      <c r="L43" s="265" t="s">
        <v>370</v>
      </c>
      <c r="M43" s="265">
        <v>2</v>
      </c>
      <c r="N43" s="265" t="s">
        <v>334</v>
      </c>
      <c r="O43" s="265">
        <v>1</v>
      </c>
      <c r="P43" s="265">
        <f>$F$27</f>
        <v>3.6</v>
      </c>
      <c r="Q43" s="265">
        <f>$G$27</f>
        <v>4.1500000000000004</v>
      </c>
      <c r="R43">
        <v>9.9499999999999993</v>
      </c>
      <c r="S43">
        <f t="shared" si="1"/>
        <v>9.9499999999999993</v>
      </c>
      <c r="U43" s="265" t="s">
        <v>348</v>
      </c>
      <c r="V43" s="265" t="s">
        <v>370</v>
      </c>
      <c r="W43" s="265">
        <v>2</v>
      </c>
      <c r="X43" s="265" t="s">
        <v>334</v>
      </c>
      <c r="Y43" s="265">
        <v>1</v>
      </c>
      <c r="Z43" s="265">
        <f>$F$27</f>
        <v>3.6</v>
      </c>
      <c r="AA43" s="265">
        <f>$G$27</f>
        <v>4.1500000000000004</v>
      </c>
      <c r="AB43" s="265">
        <v>13.64</v>
      </c>
      <c r="AC43" s="265">
        <f t="shared" si="2"/>
        <v>13.64</v>
      </c>
      <c r="AE43" s="370" t="s">
        <v>348</v>
      </c>
      <c r="AF43" s="370" t="s">
        <v>370</v>
      </c>
      <c r="AG43" s="370">
        <v>2</v>
      </c>
      <c r="AH43" s="370" t="s">
        <v>334</v>
      </c>
      <c r="AI43" s="370">
        <v>1</v>
      </c>
      <c r="AJ43" s="370">
        <f>$F$27</f>
        <v>3.6</v>
      </c>
      <c r="AK43" s="370">
        <f>$G$27</f>
        <v>4.1500000000000004</v>
      </c>
      <c r="AL43" s="370">
        <v>13.64</v>
      </c>
      <c r="AM43" s="370">
        <f t="shared" si="3"/>
        <v>13.64</v>
      </c>
      <c r="AO43" s="327" t="s">
        <v>348</v>
      </c>
      <c r="AP43" s="312" t="s">
        <v>467</v>
      </c>
      <c r="AQ43" s="327">
        <v>2</v>
      </c>
      <c r="AR43" s="327" t="s">
        <v>334</v>
      </c>
      <c r="AS43" s="327">
        <v>1</v>
      </c>
      <c r="AT43" s="327">
        <f>$F$27</f>
        <v>3.6</v>
      </c>
      <c r="AU43" s="327">
        <f>$G$27</f>
        <v>4.1500000000000004</v>
      </c>
      <c r="AV43" s="327">
        <v>12.19</v>
      </c>
      <c r="AW43" s="327">
        <f t="shared" si="4"/>
        <v>12.19</v>
      </c>
    </row>
    <row r="44" spans="1:49" x14ac:dyDescent="0.25">
      <c r="K44" s="265" t="s">
        <v>349</v>
      </c>
      <c r="L44" s="265" t="s">
        <v>369</v>
      </c>
      <c r="M44" s="265">
        <v>2</v>
      </c>
      <c r="N44" s="265" t="s">
        <v>334</v>
      </c>
      <c r="O44" s="265">
        <v>4</v>
      </c>
      <c r="P44" s="265">
        <f>AVERAGE($F$11,$F$12,$F$13,$F$22)</f>
        <v>5.4750000000000005</v>
      </c>
      <c r="Q44" s="265">
        <f>AVERAGE($G$11,$G$12,$G$13,$G$22)</f>
        <v>4.05</v>
      </c>
      <c r="R44">
        <v>37.83</v>
      </c>
      <c r="S44">
        <f t="shared" si="1"/>
        <v>151.32</v>
      </c>
      <c r="U44" s="265" t="s">
        <v>349</v>
      </c>
      <c r="V44" s="265" t="s">
        <v>369</v>
      </c>
      <c r="W44" s="265">
        <v>2</v>
      </c>
      <c r="X44" s="265" t="s">
        <v>334</v>
      </c>
      <c r="Y44" s="265">
        <v>4</v>
      </c>
      <c r="Z44" s="265">
        <f>AVERAGE($F$11,$F$12,$F$13,$F$22)</f>
        <v>5.4750000000000005</v>
      </c>
      <c r="AA44" s="265">
        <f>AVERAGE($G$11,$G$12,$G$13,$G$22)</f>
        <v>4.05</v>
      </c>
      <c r="AB44" s="265">
        <v>37.409999999999997</v>
      </c>
      <c r="AC44" s="265">
        <f t="shared" si="2"/>
        <v>149.63999999999999</v>
      </c>
      <c r="AE44" s="370" t="s">
        <v>349</v>
      </c>
      <c r="AF44" s="370" t="s">
        <v>369</v>
      </c>
      <c r="AG44" s="370">
        <v>2</v>
      </c>
      <c r="AH44" s="370" t="s">
        <v>334</v>
      </c>
      <c r="AI44" s="370">
        <v>4</v>
      </c>
      <c r="AJ44" s="370">
        <f>AVERAGE($F$11,$F$12,$F$13,$F$22)</f>
        <v>5.4750000000000005</v>
      </c>
      <c r="AK44" s="370">
        <f>AVERAGE($G$11,$G$12,$G$13,$G$22)</f>
        <v>4.05</v>
      </c>
      <c r="AL44" s="370">
        <v>37.409999999999997</v>
      </c>
      <c r="AM44" s="370">
        <f t="shared" si="3"/>
        <v>149.63999999999999</v>
      </c>
      <c r="AO44" s="327" t="s">
        <v>349</v>
      </c>
      <c r="AP44" s="312" t="s">
        <v>468</v>
      </c>
      <c r="AQ44" s="327">
        <v>2</v>
      </c>
      <c r="AR44" s="327" t="s">
        <v>334</v>
      </c>
      <c r="AS44" s="327">
        <v>3</v>
      </c>
      <c r="AT44" s="327">
        <f>AVERAGE($F$11,$F$12,$F$13,$F$22)</f>
        <v>5.4750000000000005</v>
      </c>
      <c r="AU44" s="327">
        <f>AVERAGE($G$11,$G$12,$G$13,$G$22)</f>
        <v>4.05</v>
      </c>
      <c r="AV44" s="327">
        <v>31.65</v>
      </c>
      <c r="AW44" s="327">
        <f t="shared" si="4"/>
        <v>94.949999999999989</v>
      </c>
    </row>
    <row r="45" spans="1:49" x14ac:dyDescent="0.25">
      <c r="K45" s="265" t="s">
        <v>350</v>
      </c>
      <c r="L45" s="265" t="s">
        <v>369</v>
      </c>
      <c r="M45" s="265">
        <v>2</v>
      </c>
      <c r="N45" s="265" t="s">
        <v>334</v>
      </c>
      <c r="O45" s="265">
        <v>1</v>
      </c>
      <c r="P45" s="265">
        <f>$F$15</f>
        <v>5.95</v>
      </c>
      <c r="Q45" s="265">
        <f>$G$15</f>
        <v>5.3</v>
      </c>
      <c r="R45">
        <v>37.1</v>
      </c>
      <c r="S45">
        <f t="shared" si="1"/>
        <v>37.1</v>
      </c>
      <c r="U45" s="265" t="s">
        <v>350</v>
      </c>
      <c r="V45" s="265" t="s">
        <v>369</v>
      </c>
      <c r="W45" s="265">
        <v>2</v>
      </c>
      <c r="X45" s="265" t="s">
        <v>334</v>
      </c>
      <c r="Y45" s="265">
        <v>1</v>
      </c>
      <c r="Z45" s="265">
        <f>$F$15</f>
        <v>5.95</v>
      </c>
      <c r="AA45" s="265">
        <f>$G$15</f>
        <v>5.3</v>
      </c>
      <c r="AB45" s="265">
        <v>33.42</v>
      </c>
      <c r="AC45" s="265">
        <f t="shared" si="2"/>
        <v>33.42</v>
      </c>
      <c r="AE45" s="370" t="s">
        <v>350</v>
      </c>
      <c r="AF45" s="370" t="s">
        <v>369</v>
      </c>
      <c r="AG45" s="370">
        <v>2</v>
      </c>
      <c r="AH45" s="370" t="s">
        <v>334</v>
      </c>
      <c r="AI45" s="370">
        <v>1</v>
      </c>
      <c r="AJ45" s="370">
        <f>$F$15</f>
        <v>5.95</v>
      </c>
      <c r="AK45" s="370">
        <f>$G$15</f>
        <v>5.3</v>
      </c>
      <c r="AL45" s="370">
        <v>33.42</v>
      </c>
      <c r="AM45" s="370">
        <f t="shared" si="3"/>
        <v>33.42</v>
      </c>
      <c r="AO45" s="327" t="s">
        <v>350</v>
      </c>
      <c r="AP45" s="312" t="s">
        <v>468</v>
      </c>
      <c r="AQ45" s="327">
        <v>2</v>
      </c>
      <c r="AR45" s="327" t="s">
        <v>334</v>
      </c>
      <c r="AS45" s="327">
        <v>1</v>
      </c>
      <c r="AT45" s="327">
        <f>$F$15</f>
        <v>5.95</v>
      </c>
      <c r="AU45" s="327">
        <f>$G$15</f>
        <v>5.3</v>
      </c>
      <c r="AV45" s="327">
        <v>29.03</v>
      </c>
      <c r="AW45" s="327">
        <f t="shared" si="4"/>
        <v>29.03</v>
      </c>
    </row>
    <row r="46" spans="1:49" x14ac:dyDescent="0.25">
      <c r="K46" s="265" t="s">
        <v>351</v>
      </c>
      <c r="L46" s="265" t="s">
        <v>369</v>
      </c>
      <c r="M46" s="265">
        <v>2</v>
      </c>
      <c r="N46" s="265" t="s">
        <v>334</v>
      </c>
      <c r="O46" s="265">
        <v>1</v>
      </c>
      <c r="P46" s="265">
        <f>$F$28</f>
        <v>3.6</v>
      </c>
      <c r="Q46" s="265">
        <f>$G$28</f>
        <v>4.1500000000000004</v>
      </c>
      <c r="R46">
        <v>41.2</v>
      </c>
      <c r="S46">
        <f t="shared" si="1"/>
        <v>41.2</v>
      </c>
      <c r="U46" s="265" t="s">
        <v>351</v>
      </c>
      <c r="V46" s="265" t="s">
        <v>369</v>
      </c>
      <c r="W46" s="265">
        <v>2</v>
      </c>
      <c r="X46" s="265" t="s">
        <v>334</v>
      </c>
      <c r="Y46" s="265">
        <v>1</v>
      </c>
      <c r="Z46" s="265">
        <f>$F$28</f>
        <v>3.6</v>
      </c>
      <c r="AA46" s="265">
        <f>$G$28</f>
        <v>4.1500000000000004</v>
      </c>
      <c r="AB46" s="265">
        <v>41.6</v>
      </c>
      <c r="AC46" s="265">
        <f t="shared" si="2"/>
        <v>41.6</v>
      </c>
      <c r="AE46" s="370" t="s">
        <v>351</v>
      </c>
      <c r="AF46" s="370" t="s">
        <v>369</v>
      </c>
      <c r="AG46" s="370">
        <v>2</v>
      </c>
      <c r="AH46" s="370" t="s">
        <v>334</v>
      </c>
      <c r="AI46" s="370">
        <v>1</v>
      </c>
      <c r="AJ46" s="370">
        <f>$F$28</f>
        <v>3.6</v>
      </c>
      <c r="AK46" s="370">
        <f>$G$28</f>
        <v>4.1500000000000004</v>
      </c>
      <c r="AL46" s="370">
        <v>41.6</v>
      </c>
      <c r="AM46" s="370">
        <f t="shared" si="3"/>
        <v>41.6</v>
      </c>
      <c r="AO46" s="327" t="s">
        <v>351</v>
      </c>
      <c r="AP46" s="312" t="s">
        <v>468</v>
      </c>
      <c r="AQ46" s="327">
        <v>2</v>
      </c>
      <c r="AR46" s="327" t="s">
        <v>334</v>
      </c>
      <c r="AS46" s="327">
        <v>1</v>
      </c>
      <c r="AT46" s="327">
        <f>$F$28</f>
        <v>3.6</v>
      </c>
      <c r="AU46" s="327">
        <f>$G$28</f>
        <v>4.1500000000000004</v>
      </c>
      <c r="AV46" s="327">
        <v>34.25</v>
      </c>
      <c r="AW46" s="327">
        <f t="shared" si="4"/>
        <v>34.25</v>
      </c>
    </row>
    <row r="47" spans="1:49" x14ac:dyDescent="0.25">
      <c r="K47" s="265" t="s">
        <v>327</v>
      </c>
      <c r="L47" s="265" t="s">
        <v>369</v>
      </c>
      <c r="M47" s="265">
        <v>1</v>
      </c>
      <c r="N47" s="265" t="s">
        <v>334</v>
      </c>
      <c r="O47" s="265">
        <v>3</v>
      </c>
      <c r="P47" s="265">
        <f>AVERAGE($F$16,$F$19,$F$31)</f>
        <v>4.083333333333333</v>
      </c>
      <c r="Q47" s="265"/>
      <c r="R47">
        <v>32.979999999999997</v>
      </c>
      <c r="S47">
        <f t="shared" si="1"/>
        <v>98.94</v>
      </c>
      <c r="U47" s="265" t="s">
        <v>327</v>
      </c>
      <c r="V47" s="265" t="s">
        <v>369</v>
      </c>
      <c r="W47" s="265">
        <v>1</v>
      </c>
      <c r="X47" s="265" t="s">
        <v>334</v>
      </c>
      <c r="Y47" s="265">
        <v>3</v>
      </c>
      <c r="Z47" s="265">
        <f>AVERAGE($F$16,$F$19,$F$31)</f>
        <v>4.083333333333333</v>
      </c>
      <c r="AA47" s="265"/>
      <c r="AB47" s="265">
        <v>25.96</v>
      </c>
      <c r="AC47" s="265">
        <f t="shared" si="2"/>
        <v>77.88</v>
      </c>
      <c r="AE47" s="370" t="s">
        <v>327</v>
      </c>
      <c r="AF47" s="370" t="s">
        <v>369</v>
      </c>
      <c r="AG47" s="370">
        <v>1</v>
      </c>
      <c r="AH47" s="370" t="s">
        <v>334</v>
      </c>
      <c r="AI47" s="370">
        <v>3</v>
      </c>
      <c r="AJ47" s="370">
        <f>AVERAGE($F$16,$F$19,$F$31)</f>
        <v>4.083333333333333</v>
      </c>
      <c r="AK47" s="370"/>
      <c r="AL47" s="370">
        <v>25.96</v>
      </c>
      <c r="AM47" s="370">
        <f t="shared" si="3"/>
        <v>77.88</v>
      </c>
      <c r="AO47" s="327" t="s">
        <v>327</v>
      </c>
      <c r="AP47" s="284" t="s">
        <v>468</v>
      </c>
      <c r="AQ47" s="327">
        <v>1</v>
      </c>
      <c r="AR47" s="327" t="s">
        <v>334</v>
      </c>
      <c r="AS47" s="327">
        <v>2</v>
      </c>
      <c r="AT47" s="327">
        <f>AVERAGE($F$16,$F$19,$F$31)</f>
        <v>4.083333333333333</v>
      </c>
      <c r="AU47" s="327"/>
      <c r="AV47" s="327">
        <v>23.75</v>
      </c>
      <c r="AW47" s="327">
        <f t="shared" si="4"/>
        <v>47.5</v>
      </c>
    </row>
    <row r="48" spans="1:49" x14ac:dyDescent="0.25">
      <c r="K48" s="265" t="s">
        <v>352</v>
      </c>
      <c r="L48" s="265" t="s">
        <v>370</v>
      </c>
      <c r="M48" s="265">
        <v>1</v>
      </c>
      <c r="N48" s="265" t="s">
        <v>339</v>
      </c>
      <c r="O48" s="265">
        <v>1</v>
      </c>
      <c r="P48" s="265"/>
      <c r="Q48" s="265">
        <f>$G$20</f>
        <v>4.05</v>
      </c>
      <c r="R48">
        <v>5.48</v>
      </c>
      <c r="S48">
        <f t="shared" si="1"/>
        <v>5.48</v>
      </c>
      <c r="U48" s="265" t="s">
        <v>352</v>
      </c>
      <c r="V48" s="265" t="s">
        <v>370</v>
      </c>
      <c r="W48" s="265">
        <v>1</v>
      </c>
      <c r="X48" s="265" t="s">
        <v>339</v>
      </c>
      <c r="Y48" s="265">
        <v>1</v>
      </c>
      <c r="Z48" s="265"/>
      <c r="AA48" s="265">
        <f>$G$20</f>
        <v>4.05</v>
      </c>
      <c r="AB48" s="265">
        <v>3.8</v>
      </c>
      <c r="AC48" s="265">
        <f t="shared" si="2"/>
        <v>3.8</v>
      </c>
      <c r="AE48" s="370" t="s">
        <v>352</v>
      </c>
      <c r="AF48" s="370" t="s">
        <v>370</v>
      </c>
      <c r="AG48" s="370">
        <v>1</v>
      </c>
      <c r="AH48" s="370" t="s">
        <v>339</v>
      </c>
      <c r="AI48" s="370">
        <v>1</v>
      </c>
      <c r="AJ48" s="370"/>
      <c r="AK48" s="370">
        <f>$G$20</f>
        <v>4.05</v>
      </c>
      <c r="AL48" s="370">
        <v>2.86</v>
      </c>
      <c r="AM48" s="370">
        <f t="shared" si="3"/>
        <v>2.86</v>
      </c>
      <c r="AO48" s="327" t="s">
        <v>352</v>
      </c>
      <c r="AP48" s="284" t="s">
        <v>467</v>
      </c>
      <c r="AQ48" s="327">
        <v>1</v>
      </c>
      <c r="AR48" s="327" t="s">
        <v>339</v>
      </c>
      <c r="AS48" s="327">
        <v>0</v>
      </c>
      <c r="AT48" s="327"/>
      <c r="AU48" s="327">
        <f>$G$20</f>
        <v>4.05</v>
      </c>
      <c r="AV48" s="327">
        <v>4.6399999999999997</v>
      </c>
      <c r="AW48" s="327">
        <f t="shared" si="4"/>
        <v>0</v>
      </c>
    </row>
    <row r="49" spans="11:49" x14ac:dyDescent="0.25">
      <c r="K49" s="265" t="s">
        <v>353</v>
      </c>
      <c r="L49" s="265" t="s">
        <v>370</v>
      </c>
      <c r="M49" s="278" t="s">
        <v>335</v>
      </c>
      <c r="N49" s="265" t="s">
        <v>336</v>
      </c>
      <c r="O49" s="265">
        <v>1</v>
      </c>
      <c r="P49" s="265">
        <f>$F$21</f>
        <v>5.3</v>
      </c>
      <c r="Q49" s="265">
        <f>$G$21</f>
        <v>4.05</v>
      </c>
      <c r="R49">
        <v>9.02</v>
      </c>
      <c r="S49">
        <f t="shared" si="1"/>
        <v>9.02</v>
      </c>
      <c r="U49" s="265" t="s">
        <v>353</v>
      </c>
      <c r="V49" s="265" t="s">
        <v>370</v>
      </c>
      <c r="W49" s="278" t="s">
        <v>335</v>
      </c>
      <c r="X49" s="265" t="s">
        <v>336</v>
      </c>
      <c r="Y49" s="265">
        <v>1</v>
      </c>
      <c r="Z49" s="265">
        <f>$F$21</f>
        <v>5.3</v>
      </c>
      <c r="AA49" s="265">
        <f>$G$21</f>
        <v>4.05</v>
      </c>
      <c r="AB49" s="265">
        <v>11.03</v>
      </c>
      <c r="AC49" s="265">
        <f t="shared" si="2"/>
        <v>11.03</v>
      </c>
      <c r="AE49" s="370" t="s">
        <v>353</v>
      </c>
      <c r="AF49" s="370" t="s">
        <v>370</v>
      </c>
      <c r="AG49" s="278" t="s">
        <v>335</v>
      </c>
      <c r="AH49" s="370" t="s">
        <v>336</v>
      </c>
      <c r="AI49" s="370">
        <v>1</v>
      </c>
      <c r="AJ49" s="370">
        <f>$F$21</f>
        <v>5.3</v>
      </c>
      <c r="AK49" s="370">
        <f>$G$21</f>
        <v>4.05</v>
      </c>
      <c r="AL49" s="370">
        <v>10.86</v>
      </c>
      <c r="AM49" s="370">
        <f t="shared" si="3"/>
        <v>10.86</v>
      </c>
      <c r="AO49" s="327" t="s">
        <v>353</v>
      </c>
      <c r="AP49" s="280" t="s">
        <v>467</v>
      </c>
      <c r="AQ49" s="278" t="s">
        <v>335</v>
      </c>
      <c r="AR49" s="327" t="s">
        <v>336</v>
      </c>
      <c r="AS49" s="327">
        <v>0</v>
      </c>
      <c r="AT49" s="327">
        <f>$F$21</f>
        <v>5.3</v>
      </c>
      <c r="AU49" s="327">
        <f>$G$21</f>
        <v>4.05</v>
      </c>
      <c r="AV49" s="327">
        <v>10.36</v>
      </c>
      <c r="AW49" s="327">
        <f t="shared" si="4"/>
        <v>0</v>
      </c>
    </row>
    <row r="50" spans="11:49" x14ac:dyDescent="0.25">
      <c r="K50" s="265" t="s">
        <v>354</v>
      </c>
      <c r="L50" s="265" t="s">
        <v>369</v>
      </c>
      <c r="M50" s="137" t="s">
        <v>335</v>
      </c>
      <c r="N50" s="265" t="s">
        <v>338</v>
      </c>
      <c r="O50" s="265">
        <v>1</v>
      </c>
      <c r="P50" s="265">
        <f>$F$23</f>
        <v>4.05</v>
      </c>
      <c r="Q50" s="265">
        <f>$G$23</f>
        <v>3.6</v>
      </c>
      <c r="R50">
        <v>35.58</v>
      </c>
      <c r="S50">
        <f t="shared" si="1"/>
        <v>35.58</v>
      </c>
      <c r="U50" s="265" t="s">
        <v>354</v>
      </c>
      <c r="V50" s="265" t="s">
        <v>369</v>
      </c>
      <c r="W50" s="137" t="s">
        <v>335</v>
      </c>
      <c r="X50" s="265" t="s">
        <v>338</v>
      </c>
      <c r="Y50" s="265">
        <v>1</v>
      </c>
      <c r="Z50" s="265">
        <f>$F$23</f>
        <v>4.05</v>
      </c>
      <c r="AA50" s="265">
        <f>$G$23</f>
        <v>3.6</v>
      </c>
      <c r="AB50" s="265">
        <v>30.58</v>
      </c>
      <c r="AC50" s="265">
        <f t="shared" si="2"/>
        <v>30.58</v>
      </c>
      <c r="AE50" s="370" t="s">
        <v>354</v>
      </c>
      <c r="AF50" s="370" t="s">
        <v>369</v>
      </c>
      <c r="AG50" s="137" t="s">
        <v>335</v>
      </c>
      <c r="AH50" s="370" t="s">
        <v>338</v>
      </c>
      <c r="AI50" s="370">
        <v>1</v>
      </c>
      <c r="AJ50" s="370">
        <f>$F$23</f>
        <v>4.05</v>
      </c>
      <c r="AK50" s="370">
        <f>$G$23</f>
        <v>3.6</v>
      </c>
      <c r="AL50" s="370">
        <v>29.93</v>
      </c>
      <c r="AM50" s="370">
        <f t="shared" si="3"/>
        <v>29.93</v>
      </c>
      <c r="AO50" s="327" t="s">
        <v>354</v>
      </c>
      <c r="AP50" s="280" t="s">
        <v>468</v>
      </c>
      <c r="AQ50" s="137" t="s">
        <v>335</v>
      </c>
      <c r="AR50" s="327" t="s">
        <v>338</v>
      </c>
      <c r="AS50" s="327">
        <v>1</v>
      </c>
      <c r="AT50" s="327">
        <f>$F$23</f>
        <v>4.05</v>
      </c>
      <c r="AU50" s="327">
        <f>$G$23</f>
        <v>3.6</v>
      </c>
      <c r="AV50" s="327">
        <v>27.49</v>
      </c>
      <c r="AW50" s="327">
        <f t="shared" si="4"/>
        <v>27.49</v>
      </c>
    </row>
    <row r="51" spans="11:49" x14ac:dyDescent="0.25">
      <c r="K51" s="265" t="s">
        <v>364</v>
      </c>
      <c r="L51" s="265" t="s">
        <v>370</v>
      </c>
      <c r="M51" s="137" t="s">
        <v>335</v>
      </c>
      <c r="N51" s="265" t="s">
        <v>338</v>
      </c>
      <c r="O51" s="265">
        <v>1</v>
      </c>
      <c r="P51" s="265">
        <f>$F$24</f>
        <v>4.05</v>
      </c>
      <c r="Q51" s="265">
        <f>$G$24</f>
        <v>3.6</v>
      </c>
      <c r="R51">
        <v>9.4499999999999993</v>
      </c>
      <c r="S51">
        <f t="shared" si="1"/>
        <v>9.4499999999999993</v>
      </c>
      <c r="U51" s="265" t="s">
        <v>364</v>
      </c>
      <c r="V51" s="265" t="s">
        <v>370</v>
      </c>
      <c r="W51" s="137" t="s">
        <v>335</v>
      </c>
      <c r="X51" s="265" t="s">
        <v>338</v>
      </c>
      <c r="Y51" s="265">
        <v>1</v>
      </c>
      <c r="Z51" s="265">
        <f>$F$24</f>
        <v>4.05</v>
      </c>
      <c r="AA51" s="265">
        <f>$G$24</f>
        <v>3.6</v>
      </c>
      <c r="AB51" s="265">
        <v>12.2</v>
      </c>
      <c r="AC51" s="265">
        <f t="shared" si="2"/>
        <v>12.2</v>
      </c>
      <c r="AE51" s="370" t="s">
        <v>364</v>
      </c>
      <c r="AF51" s="370" t="s">
        <v>370</v>
      </c>
      <c r="AG51" s="137" t="s">
        <v>335</v>
      </c>
      <c r="AH51" s="370" t="s">
        <v>338</v>
      </c>
      <c r="AI51" s="370">
        <v>1</v>
      </c>
      <c r="AJ51" s="370">
        <f>$F$24</f>
        <v>4.05</v>
      </c>
      <c r="AK51" s="370">
        <f>$G$24</f>
        <v>3.6</v>
      </c>
      <c r="AL51" s="370">
        <v>12.09</v>
      </c>
      <c r="AM51" s="370">
        <f t="shared" si="3"/>
        <v>12.09</v>
      </c>
      <c r="AO51" s="327" t="s">
        <v>364</v>
      </c>
      <c r="AP51" s="280" t="s">
        <v>467</v>
      </c>
      <c r="AQ51" s="137" t="s">
        <v>335</v>
      </c>
      <c r="AR51" s="327" t="s">
        <v>338</v>
      </c>
      <c r="AS51" s="327">
        <v>1</v>
      </c>
      <c r="AT51" s="327">
        <f>$F$24</f>
        <v>4.05</v>
      </c>
      <c r="AU51" s="327">
        <f>$G$24</f>
        <v>3.6</v>
      </c>
      <c r="AV51" s="327">
        <v>11.2</v>
      </c>
      <c r="AW51" s="327">
        <f t="shared" si="4"/>
        <v>11.2</v>
      </c>
    </row>
    <row r="52" spans="11:49" x14ac:dyDescent="0.25">
      <c r="K52" s="265" t="s">
        <v>365</v>
      </c>
      <c r="L52" s="265" t="s">
        <v>369</v>
      </c>
      <c r="M52" s="265">
        <v>2</v>
      </c>
      <c r="N52" s="265" t="s">
        <v>339</v>
      </c>
      <c r="O52" s="265">
        <v>1</v>
      </c>
      <c r="P52" s="265">
        <f>$F$25</f>
        <v>4.05</v>
      </c>
      <c r="Q52" s="265">
        <f>$G$25</f>
        <v>3.6</v>
      </c>
      <c r="R52">
        <v>22.18</v>
      </c>
      <c r="S52">
        <f t="shared" si="1"/>
        <v>22.18</v>
      </c>
      <c r="U52" s="265" t="s">
        <v>365</v>
      </c>
      <c r="V52" s="265" t="s">
        <v>369</v>
      </c>
      <c r="W52" s="265">
        <v>2</v>
      </c>
      <c r="X52" s="265" t="s">
        <v>339</v>
      </c>
      <c r="Y52" s="265">
        <v>1</v>
      </c>
      <c r="Z52" s="265">
        <f>$F$25</f>
        <v>4.05</v>
      </c>
      <c r="AA52" s="265">
        <f>$G$25</f>
        <v>3.6</v>
      </c>
      <c r="AB52" s="265">
        <v>6.42</v>
      </c>
      <c r="AC52" s="265">
        <f t="shared" si="2"/>
        <v>6.42</v>
      </c>
      <c r="AE52" s="370" t="s">
        <v>365</v>
      </c>
      <c r="AF52" s="370" t="s">
        <v>369</v>
      </c>
      <c r="AG52" s="370">
        <v>2</v>
      </c>
      <c r="AH52" s="370" t="s">
        <v>339</v>
      </c>
      <c r="AI52" s="370">
        <v>1</v>
      </c>
      <c r="AJ52" s="370">
        <f>$F$25</f>
        <v>4.05</v>
      </c>
      <c r="AK52" s="370">
        <f>$G$25</f>
        <v>3.6</v>
      </c>
      <c r="AL52" s="370">
        <v>6.79</v>
      </c>
      <c r="AM52" s="370">
        <f t="shared" si="3"/>
        <v>6.79</v>
      </c>
      <c r="AO52" s="327" t="s">
        <v>365</v>
      </c>
      <c r="AP52" s="324" t="s">
        <v>468</v>
      </c>
      <c r="AQ52" s="327">
        <v>2</v>
      </c>
      <c r="AR52" s="327" t="s">
        <v>339</v>
      </c>
      <c r="AS52" s="327">
        <v>1</v>
      </c>
      <c r="AT52" s="327">
        <f>$F$25</f>
        <v>4.05</v>
      </c>
      <c r="AU52" s="327">
        <f>$G$25</f>
        <v>3.6</v>
      </c>
      <c r="AV52" s="327">
        <v>11.83</v>
      </c>
      <c r="AW52" s="327">
        <f t="shared" si="4"/>
        <v>11.83</v>
      </c>
    </row>
    <row r="53" spans="11:49" x14ac:dyDescent="0.25">
      <c r="K53" s="265" t="s">
        <v>366</v>
      </c>
      <c r="L53" s="265" t="s">
        <v>369</v>
      </c>
      <c r="M53" s="137" t="s">
        <v>335</v>
      </c>
      <c r="N53" s="265" t="s">
        <v>336</v>
      </c>
      <c r="O53" s="265">
        <v>1</v>
      </c>
      <c r="P53" s="265">
        <f>$F$26</f>
        <v>3.6</v>
      </c>
      <c r="Q53" s="265">
        <f>$G$26</f>
        <v>4.16</v>
      </c>
      <c r="R53">
        <v>35.549999999999997</v>
      </c>
      <c r="S53">
        <f t="shared" si="1"/>
        <v>35.549999999999997</v>
      </c>
      <c r="U53" s="265" t="s">
        <v>366</v>
      </c>
      <c r="V53" s="265" t="s">
        <v>369</v>
      </c>
      <c r="W53" s="137" t="s">
        <v>335</v>
      </c>
      <c r="X53" s="265" t="s">
        <v>336</v>
      </c>
      <c r="Y53" s="265">
        <v>1</v>
      </c>
      <c r="Z53" s="265">
        <f>$F$26</f>
        <v>3.6</v>
      </c>
      <c r="AA53" s="265">
        <f>$G$26</f>
        <v>4.16</v>
      </c>
      <c r="AB53" s="265">
        <v>30.53</v>
      </c>
      <c r="AC53" s="265">
        <f t="shared" si="2"/>
        <v>30.53</v>
      </c>
      <c r="AE53" s="370" t="s">
        <v>366</v>
      </c>
      <c r="AF53" s="370" t="s">
        <v>369</v>
      </c>
      <c r="AG53" s="137" t="s">
        <v>335</v>
      </c>
      <c r="AH53" s="370" t="s">
        <v>336</v>
      </c>
      <c r="AI53" s="370">
        <v>1</v>
      </c>
      <c r="AJ53" s="370">
        <f>$F$26</f>
        <v>3.6</v>
      </c>
      <c r="AK53" s="370">
        <f>$G$26</f>
        <v>4.16</v>
      </c>
      <c r="AL53" s="370">
        <v>29.89</v>
      </c>
      <c r="AM53" s="370">
        <f t="shared" si="3"/>
        <v>29.89</v>
      </c>
      <c r="AO53" s="327" t="s">
        <v>366</v>
      </c>
      <c r="AP53" s="280" t="s">
        <v>468</v>
      </c>
      <c r="AQ53" s="137" t="s">
        <v>335</v>
      </c>
      <c r="AR53" s="327" t="s">
        <v>336</v>
      </c>
      <c r="AS53" s="327">
        <v>1</v>
      </c>
      <c r="AT53" s="327">
        <f>$F$26</f>
        <v>3.6</v>
      </c>
      <c r="AU53" s="327">
        <f>$G$26</f>
        <v>4.16</v>
      </c>
      <c r="AV53" s="327">
        <v>27.44</v>
      </c>
      <c r="AW53" s="327">
        <f t="shared" si="4"/>
        <v>27.44</v>
      </c>
    </row>
    <row r="54" spans="11:49" x14ac:dyDescent="0.25">
      <c r="K54" s="265" t="s">
        <v>367</v>
      </c>
      <c r="L54" s="265" t="s">
        <v>369</v>
      </c>
      <c r="M54" s="265">
        <v>1</v>
      </c>
      <c r="N54" s="265" t="s">
        <v>339</v>
      </c>
      <c r="O54" s="265">
        <v>1</v>
      </c>
      <c r="P54" s="265">
        <f>$F$29</f>
        <v>4.16</v>
      </c>
      <c r="Q54" s="265"/>
      <c r="R54">
        <v>18.5</v>
      </c>
      <c r="S54">
        <f t="shared" si="1"/>
        <v>18.5</v>
      </c>
      <c r="U54" s="265" t="s">
        <v>367</v>
      </c>
      <c r="V54" s="265" t="s">
        <v>369</v>
      </c>
      <c r="W54" s="265">
        <v>1</v>
      </c>
      <c r="X54" s="265" t="s">
        <v>339</v>
      </c>
      <c r="Y54" s="265">
        <v>1</v>
      </c>
      <c r="Z54" s="265">
        <f>$F$29</f>
        <v>4.16</v>
      </c>
      <c r="AA54" s="265"/>
      <c r="AB54" s="265">
        <v>4.5599999999999996</v>
      </c>
      <c r="AC54" s="265">
        <f t="shared" si="2"/>
        <v>4.5599999999999996</v>
      </c>
      <c r="AE54" s="370" t="s">
        <v>367</v>
      </c>
      <c r="AF54" s="370" t="s">
        <v>369</v>
      </c>
      <c r="AG54" s="370">
        <v>1</v>
      </c>
      <c r="AH54" s="370" t="s">
        <v>339</v>
      </c>
      <c r="AI54" s="370">
        <v>1</v>
      </c>
      <c r="AJ54" s="370">
        <f>$F$29</f>
        <v>4.16</v>
      </c>
      <c r="AK54" s="370"/>
      <c r="AL54" s="370">
        <v>3.24</v>
      </c>
      <c r="AM54" s="370">
        <f t="shared" si="3"/>
        <v>3.24</v>
      </c>
      <c r="AO54" s="327" t="s">
        <v>367</v>
      </c>
      <c r="AP54" s="284" t="s">
        <v>468</v>
      </c>
      <c r="AQ54" s="327">
        <v>1</v>
      </c>
      <c r="AR54" s="327" t="s">
        <v>339</v>
      </c>
      <c r="AS54" s="327">
        <v>1</v>
      </c>
      <c r="AT54" s="327">
        <f>$F$29</f>
        <v>4.16</v>
      </c>
      <c r="AU54" s="327"/>
      <c r="AV54" s="327">
        <v>6.22</v>
      </c>
      <c r="AW54" s="327">
        <f t="shared" si="4"/>
        <v>6.22</v>
      </c>
    </row>
    <row r="55" spans="11:49" x14ac:dyDescent="0.25">
      <c r="K55" s="265" t="s">
        <v>33</v>
      </c>
      <c r="S55" s="265">
        <f>SUM(S37:S54)</f>
        <v>593.81999999999982</v>
      </c>
      <c r="U55" s="265" t="s">
        <v>33</v>
      </c>
      <c r="AC55" s="265">
        <f>SUM(AC37:AC54)</f>
        <v>546</v>
      </c>
      <c r="AE55" s="370" t="s">
        <v>33</v>
      </c>
      <c r="AM55" s="370">
        <f>SUM(AM37:AM54)</f>
        <v>542.54000000000008</v>
      </c>
      <c r="AO55" s="327" t="s">
        <v>33</v>
      </c>
      <c r="AW55" s="327">
        <f>SUM(AW37:AW54)+AV30+AV31+AV32+AV33+AV34</f>
        <v>481.67</v>
      </c>
    </row>
  </sheetData>
  <mergeCells count="7">
    <mergeCell ref="K35:S35"/>
    <mergeCell ref="A1:U1"/>
    <mergeCell ref="A2:U2"/>
    <mergeCell ref="A35:I35"/>
    <mergeCell ref="U35:AC35"/>
    <mergeCell ref="AO35:AW35"/>
    <mergeCell ref="AE35:AM35"/>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topLeftCell="A16" zoomScale="90" zoomScaleNormal="90" workbookViewId="0">
      <selection activeCell="O17" sqref="O17"/>
    </sheetView>
  </sheetViews>
  <sheetFormatPr defaultRowHeight="15" x14ac:dyDescent="0.25"/>
  <cols>
    <col min="1" max="1" width="10.140625" bestFit="1" customWidth="1"/>
    <col min="2" max="2" width="10" customWidth="1"/>
    <col min="7" max="7" width="11.7109375" customWidth="1"/>
    <col min="8" max="8" width="11.140625" customWidth="1"/>
    <col min="9" max="10" width="9.5703125" bestFit="1" customWidth="1"/>
    <col min="18" max="18" width="10.7109375" customWidth="1"/>
  </cols>
  <sheetData>
    <row r="1" spans="1:21" x14ac:dyDescent="0.25">
      <c r="A1" s="398" t="s">
        <v>376</v>
      </c>
      <c r="B1" s="399"/>
      <c r="C1" s="399"/>
      <c r="D1" s="399"/>
      <c r="E1" s="399"/>
      <c r="F1" s="399"/>
      <c r="G1" s="399"/>
      <c r="H1" s="399"/>
      <c r="I1" s="399"/>
      <c r="J1" s="400"/>
      <c r="L1" s="398" t="s">
        <v>385</v>
      </c>
      <c r="M1" s="399"/>
      <c r="N1" s="399"/>
      <c r="O1" s="399"/>
      <c r="P1" s="399"/>
      <c r="Q1" s="399"/>
      <c r="R1" s="399"/>
      <c r="S1" s="399"/>
      <c r="T1" s="399"/>
      <c r="U1" s="400"/>
    </row>
    <row r="2" spans="1:21" ht="49.5" x14ac:dyDescent="0.25">
      <c r="A2" s="293" t="s">
        <v>1</v>
      </c>
      <c r="B2" s="273" t="str">
        <f>'Caratt. Sollec.'!$E$1</f>
        <v>F             [kN]</v>
      </c>
      <c r="C2" s="273" t="str">
        <f>'Caratt. Sollec.'!$F$1</f>
        <v>V di piano             [kN]</v>
      </c>
      <c r="D2" s="10" t="s">
        <v>230</v>
      </c>
      <c r="E2" s="273" t="s">
        <v>378</v>
      </c>
      <c r="F2" s="25" t="s">
        <v>380</v>
      </c>
      <c r="G2" s="25" t="s">
        <v>384</v>
      </c>
      <c r="H2" s="25" t="s">
        <v>382</v>
      </c>
      <c r="I2" s="25" t="s">
        <v>383</v>
      </c>
      <c r="J2" s="25" t="s">
        <v>381</v>
      </c>
      <c r="L2" s="293" t="s">
        <v>1</v>
      </c>
      <c r="M2" s="273" t="str">
        <f>'Caratt. Sollec.'!$E$1</f>
        <v>F             [kN]</v>
      </c>
      <c r="N2" s="273" t="str">
        <f>'Caratt. Sollec.'!$F$1</f>
        <v>V di piano             [kN]</v>
      </c>
      <c r="O2" s="10" t="s">
        <v>232</v>
      </c>
      <c r="P2" s="273" t="s">
        <v>378</v>
      </c>
      <c r="Q2" s="25" t="s">
        <v>380</v>
      </c>
      <c r="R2" s="25" t="s">
        <v>384</v>
      </c>
      <c r="S2" s="25" t="s">
        <v>382</v>
      </c>
      <c r="T2" s="25" t="s">
        <v>383</v>
      </c>
      <c r="U2" s="25" t="s">
        <v>381</v>
      </c>
    </row>
    <row r="3" spans="1:21" x14ac:dyDescent="0.25">
      <c r="A3" s="294" t="s">
        <v>2</v>
      </c>
      <c r="B3" s="28">
        <f>'Caratt. Sollec.'!E2</f>
        <v>48.195659680282844</v>
      </c>
      <c r="C3" s="28">
        <f>'Caratt. Sollec.'!F2</f>
        <v>48.195659680282844</v>
      </c>
      <c r="D3" s="296">
        <f>'Stima delle rigidezze 1'!H7</f>
        <v>53.82013031066289</v>
      </c>
      <c r="E3" s="28">
        <f>C3/D3</f>
        <v>0.89549503879098336</v>
      </c>
      <c r="F3" s="31">
        <f>F4+E3</f>
        <v>15.510272692150178</v>
      </c>
      <c r="G3" s="296">
        <f>('Caratt. Sollec.'!B2/9810)</f>
        <v>3.7406727828746177E-2</v>
      </c>
      <c r="H3" s="28">
        <f>B3*F3</f>
        <v>747.5278242192544</v>
      </c>
      <c r="I3" s="31">
        <f>G3*F3^2</f>
        <v>8.9988826101003099</v>
      </c>
      <c r="J3" s="20">
        <f>2*PI()*SQRT(I10/H10)</f>
        <v>0.76122294933409917</v>
      </c>
      <c r="L3" s="294" t="s">
        <v>2</v>
      </c>
      <c r="M3" s="28">
        <f>'Caratt. Sollec.'!E2</f>
        <v>48.195659680282844</v>
      </c>
      <c r="N3" s="28">
        <f>'Caratt. Sollec.'!F2</f>
        <v>48.195659680282844</v>
      </c>
      <c r="O3" s="296">
        <f>'Stima delle rigidezze 1'!Q7</f>
        <v>29.219041104696856</v>
      </c>
      <c r="P3" s="28">
        <f>N3/O3</f>
        <v>1.6494606892672998</v>
      </c>
      <c r="Q3" s="31">
        <f t="shared" ref="Q3:Q8" si="0">Q4+P3</f>
        <v>17.395937548259692</v>
      </c>
      <c r="R3" s="296">
        <f>('Caratt. Sollec.'!B2/9810)</f>
        <v>3.7406727828746177E-2</v>
      </c>
      <c r="S3" s="28">
        <f>M3*Q3</f>
        <v>838.40868589537797</v>
      </c>
      <c r="T3" s="31">
        <f>R3*Q3^2</f>
        <v>11.319973221449118</v>
      </c>
      <c r="U3" s="20">
        <f>2*PI()*SQRT(T10/S10)</f>
        <v>0.78988544879492162</v>
      </c>
    </row>
    <row r="4" spans="1:21" x14ac:dyDescent="0.25">
      <c r="A4" s="294">
        <v>6</v>
      </c>
      <c r="B4" s="31">
        <f>'Caratt. Sollec.'!E3</f>
        <v>433.98383585693546</v>
      </c>
      <c r="C4" s="31">
        <f>'Caratt. Sollec.'!F3</f>
        <v>482.17949553721832</v>
      </c>
      <c r="D4" s="297">
        <f>'Stima delle rigidezze 1'!H8</f>
        <v>365.50088659389905</v>
      </c>
      <c r="E4" s="31">
        <f>C4/D4</f>
        <v>1.3192293458728559</v>
      </c>
      <c r="F4" s="31">
        <f t="shared" ref="F4:F8" si="1">F5+E4</f>
        <v>14.614777653359194</v>
      </c>
      <c r="G4" s="297">
        <f>('Caratt. Sollec.'!B3/9810)</f>
        <v>0.39297247706422017</v>
      </c>
      <c r="H4" s="31">
        <f t="shared" ref="H4:H9" si="2">B4*F4</f>
        <v>6342.5772662010449</v>
      </c>
      <c r="I4" s="31">
        <f t="shared" ref="I4:I9" si="3">G4*F4^2</f>
        <v>83.935669590497156</v>
      </c>
      <c r="J4" s="12"/>
      <c r="L4" s="294">
        <v>6</v>
      </c>
      <c r="M4" s="31">
        <f>'Caratt. Sollec.'!E3</f>
        <v>433.98383585693546</v>
      </c>
      <c r="N4" s="31">
        <f>'Caratt. Sollec.'!F3</f>
        <v>482.17949553721832</v>
      </c>
      <c r="O4" s="297">
        <f>'Stima delle rigidezze 1'!Q8</f>
        <v>339.16963858160409</v>
      </c>
      <c r="P4" s="31">
        <f t="shared" ref="P4:P9" si="4">N4/O4</f>
        <v>1.4216469892578729</v>
      </c>
      <c r="Q4" s="31">
        <f t="shared" si="0"/>
        <v>15.746476858992393</v>
      </c>
      <c r="R4" s="297">
        <f>('Caratt. Sollec.'!B3/9810)</f>
        <v>0.39297247706422017</v>
      </c>
      <c r="S4" s="31">
        <f t="shared" ref="S4:S9" si="5">M4*Q4</f>
        <v>6833.7164284979872</v>
      </c>
      <c r="T4" s="31">
        <f t="shared" ref="T4:T9" si="6">R4*Q4^2</f>
        <v>97.438128299885477</v>
      </c>
      <c r="U4" s="12"/>
    </row>
    <row r="5" spans="1:21" x14ac:dyDescent="0.25">
      <c r="A5" s="294">
        <v>5</v>
      </c>
      <c r="B5" s="31">
        <f>'Caratt. Sollec.'!E4</f>
        <v>401.836885052718</v>
      </c>
      <c r="C5" s="31">
        <f>'Caratt. Sollec.'!F4</f>
        <v>884.01638058993626</v>
      </c>
      <c r="D5" s="297">
        <f>'Stima delle rigidezze 1'!H9</f>
        <v>520.70500917296101</v>
      </c>
      <c r="E5" s="31">
        <f t="shared" ref="E5:E9" si="7">C5/D5</f>
        <v>1.6977297414404078</v>
      </c>
      <c r="F5" s="31">
        <f t="shared" si="1"/>
        <v>13.295548307486339</v>
      </c>
      <c r="G5" s="297">
        <f>('Caratt. Sollec.'!B4/9810)</f>
        <v>0.43663608562691125</v>
      </c>
      <c r="H5" s="31">
        <f t="shared" si="2"/>
        <v>5342.6417169482474</v>
      </c>
      <c r="I5" s="31">
        <f t="shared" si="3"/>
        <v>77.184861568419663</v>
      </c>
      <c r="J5" s="12"/>
      <c r="L5" s="294">
        <v>5</v>
      </c>
      <c r="M5" s="31">
        <f>'Caratt. Sollec.'!E4</f>
        <v>401.836885052718</v>
      </c>
      <c r="N5" s="31">
        <f>'Caratt. Sollec.'!F4</f>
        <v>884.01638058993626</v>
      </c>
      <c r="O5" s="297">
        <f>'Stima delle rigidezze 1'!Q9</f>
        <v>479.70325824387425</v>
      </c>
      <c r="P5" s="31">
        <f t="shared" si="4"/>
        <v>1.8428400587192073</v>
      </c>
      <c r="Q5" s="31">
        <f t="shared" si="0"/>
        <v>14.32482986973452</v>
      </c>
      <c r="R5" s="297">
        <f>('Caratt. Sollec.'!B4/9810)</f>
        <v>0.43663608562691125</v>
      </c>
      <c r="S5" s="31">
        <f t="shared" si="5"/>
        <v>5756.2450137642518</v>
      </c>
      <c r="T5" s="31">
        <f t="shared" si="6"/>
        <v>89.598052595634769</v>
      </c>
      <c r="U5" s="12"/>
    </row>
    <row r="6" spans="1:21" x14ac:dyDescent="0.25">
      <c r="A6" s="294">
        <v>4</v>
      </c>
      <c r="B6" s="31">
        <f>'Caratt. Sollec.'!E5</f>
        <v>321.46950804217437</v>
      </c>
      <c r="C6" s="31">
        <f>'Caratt. Sollec.'!F5</f>
        <v>1205.4858886321106</v>
      </c>
      <c r="D6" s="297">
        <f>'Stima delle rigidezze 1'!H10</f>
        <v>520.70500917296101</v>
      </c>
      <c r="E6" s="31">
        <f t="shared" si="7"/>
        <v>2.3151033068546649</v>
      </c>
      <c r="F6" s="31">
        <f t="shared" si="1"/>
        <v>11.59781856604593</v>
      </c>
      <c r="G6" s="297">
        <f>('Caratt. Sollec.'!B5/9810)</f>
        <v>0.43663608562691125</v>
      </c>
      <c r="H6" s="31">
        <f t="shared" si="2"/>
        <v>3728.3450287891815</v>
      </c>
      <c r="I6" s="31">
        <f t="shared" si="3"/>
        <v>58.731655927197274</v>
      </c>
      <c r="J6" s="12"/>
      <c r="L6" s="294">
        <v>4</v>
      </c>
      <c r="M6" s="31">
        <f>'Caratt. Sollec.'!E5</f>
        <v>321.46950804217437</v>
      </c>
      <c r="N6" s="31">
        <f>'Caratt. Sollec.'!F5</f>
        <v>1205.4858886321106</v>
      </c>
      <c r="O6" s="297">
        <f>'Stima delle rigidezze 1'!Q10</f>
        <v>479.70325824387425</v>
      </c>
      <c r="P6" s="31">
        <f t="shared" si="4"/>
        <v>2.5129824905614022</v>
      </c>
      <c r="Q6" s="31">
        <f t="shared" si="0"/>
        <v>12.481989811015312</v>
      </c>
      <c r="R6" s="297">
        <f>('Caratt. Sollec.'!B5/9810)</f>
        <v>0.43663608562691125</v>
      </c>
      <c r="S6" s="31">
        <f t="shared" si="5"/>
        <v>4012.5791239345253</v>
      </c>
      <c r="T6" s="31">
        <f t="shared" si="6"/>
        <v>68.027932549009705</v>
      </c>
      <c r="U6" s="12"/>
    </row>
    <row r="7" spans="1:21" x14ac:dyDescent="0.25">
      <c r="A7" s="294">
        <v>3</v>
      </c>
      <c r="B7" s="31">
        <f>'Caratt. Sollec.'!E6</f>
        <v>241.10213103163079</v>
      </c>
      <c r="C7" s="31">
        <f>'Caratt. Sollec.'!F6</f>
        <v>1446.5880196637413</v>
      </c>
      <c r="D7" s="297">
        <f>'Stima delle rigidezze 1'!H11</f>
        <v>520.70500917296101</v>
      </c>
      <c r="E7" s="31">
        <f t="shared" si="7"/>
        <v>2.7781334809153573</v>
      </c>
      <c r="F7" s="31">
        <f t="shared" si="1"/>
        <v>9.2827152591912654</v>
      </c>
      <c r="G7" s="297">
        <f>('Caratt. Sollec.'!B6/9810)</f>
        <v>0.43663608562691125</v>
      </c>
      <c r="H7" s="31">
        <f t="shared" si="2"/>
        <v>2238.082430750851</v>
      </c>
      <c r="I7" s="31">
        <f t="shared" si="3"/>
        <v>37.62440866309629</v>
      </c>
      <c r="J7" s="12"/>
      <c r="L7" s="294">
        <v>3</v>
      </c>
      <c r="M7" s="31">
        <f>'Caratt. Sollec.'!E6</f>
        <v>241.10213103163079</v>
      </c>
      <c r="N7" s="31">
        <f>'Caratt. Sollec.'!F6</f>
        <v>1446.5880196637413</v>
      </c>
      <c r="O7" s="297">
        <f>'Stima delle rigidezze 1'!Q11</f>
        <v>479.70325824387425</v>
      </c>
      <c r="P7" s="31">
        <f t="shared" si="4"/>
        <v>3.0155893144430483</v>
      </c>
      <c r="Q7" s="31">
        <f t="shared" si="0"/>
        <v>9.96900732045391</v>
      </c>
      <c r="R7" s="297">
        <f>('Caratt. Sollec.'!B6/9810)</f>
        <v>0.43663608562691125</v>
      </c>
      <c r="S7" s="31">
        <f t="shared" si="5"/>
        <v>2403.5489092313651</v>
      </c>
      <c r="T7" s="31">
        <f t="shared" si="6"/>
        <v>43.393377526215723</v>
      </c>
      <c r="U7" s="12"/>
    </row>
    <row r="8" spans="1:21" x14ac:dyDescent="0.25">
      <c r="A8" s="294">
        <v>2</v>
      </c>
      <c r="B8" s="31">
        <f>'Caratt. Sollec.'!E7</f>
        <v>160.73475402108718</v>
      </c>
      <c r="C8" s="31">
        <f>'Caratt. Sollec.'!F7</f>
        <v>1607.3227736848285</v>
      </c>
      <c r="D8" s="297">
        <f>'Stima delle rigidezze 1'!H12</f>
        <v>520.70500917296101</v>
      </c>
      <c r="E8" s="31">
        <f t="shared" si="7"/>
        <v>3.086820263622486</v>
      </c>
      <c r="F8" s="31">
        <f t="shared" si="1"/>
        <v>6.5045817782759077</v>
      </c>
      <c r="G8" s="297">
        <f>('Caratt. Sollec.'!B7/9810)</f>
        <v>0.43663608562691125</v>
      </c>
      <c r="H8" s="31">
        <f t="shared" si="2"/>
        <v>1045.5123521412238</v>
      </c>
      <c r="I8" s="31">
        <f t="shared" si="3"/>
        <v>18.473891190414772</v>
      </c>
      <c r="J8" s="12"/>
      <c r="L8" s="294">
        <v>2</v>
      </c>
      <c r="M8" s="31">
        <f>'Caratt. Sollec.'!E7</f>
        <v>160.73475402108718</v>
      </c>
      <c r="N8" s="31">
        <f>'Caratt. Sollec.'!F7</f>
        <v>1607.3227736848285</v>
      </c>
      <c r="O8" s="297">
        <f>'Stima delle rigidezze 1'!Q12</f>
        <v>479.70325824387425</v>
      </c>
      <c r="P8" s="31">
        <f t="shared" si="4"/>
        <v>3.3506605303641459</v>
      </c>
      <c r="Q8" s="31">
        <f t="shared" si="0"/>
        <v>6.9534180060108621</v>
      </c>
      <c r="R8" s="297">
        <f>('Caratt. Sollec.'!B7/9810)</f>
        <v>0.43663608562691125</v>
      </c>
      <c r="S8" s="31">
        <f t="shared" si="5"/>
        <v>1117.6559328019543</v>
      </c>
      <c r="T8" s="31">
        <f t="shared" si="6"/>
        <v>21.111364331347424</v>
      </c>
      <c r="U8" s="12"/>
    </row>
    <row r="9" spans="1:21" x14ac:dyDescent="0.25">
      <c r="A9" s="295">
        <v>1</v>
      </c>
      <c r="B9" s="22">
        <f>'Caratt. Sollec.'!E8</f>
        <v>92.54425231517142</v>
      </c>
      <c r="C9" s="22">
        <f>'Caratt. Sollec.'!F8</f>
        <v>1699.8670259999999</v>
      </c>
      <c r="D9" s="298">
        <f>'Stima delle rigidezze 1'!H13</f>
        <v>497.36267984525392</v>
      </c>
      <c r="E9" s="22">
        <f t="shared" si="7"/>
        <v>3.4177615146534217</v>
      </c>
      <c r="F9" s="22">
        <f>E9</f>
        <v>3.4177615146534217</v>
      </c>
      <c r="G9" s="298">
        <f>('Caratt. Sollec.'!B8/9810)</f>
        <v>0.43663608562691125</v>
      </c>
      <c r="H9" s="22">
        <f t="shared" si="2"/>
        <v>316.29418396516871</v>
      </c>
      <c r="I9" s="22">
        <f t="shared" si="3"/>
        <v>5.1003870600304433</v>
      </c>
      <c r="J9" s="12"/>
      <c r="L9" s="295">
        <v>1</v>
      </c>
      <c r="M9" s="22">
        <f>'Caratt. Sollec.'!E8</f>
        <v>92.54425231517142</v>
      </c>
      <c r="N9" s="22">
        <f>'Caratt. Sollec.'!F8</f>
        <v>1699.8670259999999</v>
      </c>
      <c r="O9" s="298">
        <f>'Stima delle rigidezze 1'!Q13</f>
        <v>471.82388420271445</v>
      </c>
      <c r="P9" s="22">
        <f t="shared" si="4"/>
        <v>3.6027574756467158</v>
      </c>
      <c r="Q9" s="22">
        <f>P9</f>
        <v>3.6027574756467158</v>
      </c>
      <c r="R9" s="298">
        <f>('Caratt. Sollec.'!B8/9810)</f>
        <v>0.43663608562691125</v>
      </c>
      <c r="S9" s="22">
        <f t="shared" si="5"/>
        <v>333.41449685661973</v>
      </c>
      <c r="T9" s="22">
        <f t="shared" si="6"/>
        <v>5.6674758860449961</v>
      </c>
      <c r="U9" s="12"/>
    </row>
    <row r="10" spans="1:21" x14ac:dyDescent="0.25">
      <c r="A10" s="295" t="s">
        <v>33</v>
      </c>
      <c r="H10" s="20">
        <f>SUM(H3:H9)</f>
        <v>19760.980803014972</v>
      </c>
      <c r="I10" s="20">
        <f>SUM(I3:I9)</f>
        <v>290.04975660975589</v>
      </c>
      <c r="L10" s="295" t="s">
        <v>33</v>
      </c>
      <c r="S10" s="20">
        <f>SUM(S3:S9)</f>
        <v>21295.568590982082</v>
      </c>
      <c r="T10" s="20">
        <f>SUM(T3:T9)</f>
        <v>336.55630440958726</v>
      </c>
    </row>
    <row r="12" spans="1:21" x14ac:dyDescent="0.25">
      <c r="A12" s="398" t="s">
        <v>387</v>
      </c>
      <c r="B12" s="399"/>
      <c r="C12" s="399"/>
      <c r="D12" s="399"/>
      <c r="E12" s="399"/>
      <c r="F12" s="399"/>
      <c r="G12" s="399"/>
      <c r="H12" s="399"/>
      <c r="I12" s="399"/>
      <c r="J12" s="400"/>
      <c r="L12" s="398" t="s">
        <v>388</v>
      </c>
      <c r="M12" s="399"/>
      <c r="N12" s="399"/>
      <c r="O12" s="399"/>
      <c r="P12" s="399"/>
      <c r="Q12" s="399"/>
      <c r="R12" s="399"/>
      <c r="S12" s="399"/>
      <c r="T12" s="399"/>
      <c r="U12" s="400"/>
    </row>
    <row r="13" spans="1:21" ht="49.5" x14ac:dyDescent="0.25">
      <c r="A13" s="293" t="s">
        <v>1</v>
      </c>
      <c r="B13" s="273" t="str">
        <f>'Caratt. Sollec.'!$E$1</f>
        <v>F             [kN]</v>
      </c>
      <c r="C13" s="273" t="str">
        <f>'Caratt. Sollec.'!$F$1</f>
        <v>V di piano             [kN]</v>
      </c>
      <c r="D13" s="10" t="s">
        <v>230</v>
      </c>
      <c r="E13" s="273" t="s">
        <v>378</v>
      </c>
      <c r="F13" s="25" t="s">
        <v>380</v>
      </c>
      <c r="G13" s="25" t="s">
        <v>384</v>
      </c>
      <c r="H13" s="25" t="s">
        <v>382</v>
      </c>
      <c r="I13" s="25" t="s">
        <v>383</v>
      </c>
      <c r="J13" s="25" t="s">
        <v>381</v>
      </c>
      <c r="L13" s="293" t="s">
        <v>1</v>
      </c>
      <c r="M13" s="273" t="str">
        <f>'Caratt. Sollec.'!$E$1</f>
        <v>F             [kN]</v>
      </c>
      <c r="N13" s="273" t="str">
        <f>'Caratt. Sollec.'!$F$1</f>
        <v>V di piano             [kN]</v>
      </c>
      <c r="O13" s="10" t="s">
        <v>232</v>
      </c>
      <c r="P13" s="273" t="s">
        <v>378</v>
      </c>
      <c r="Q13" s="25" t="s">
        <v>380</v>
      </c>
      <c r="R13" s="25" t="s">
        <v>384</v>
      </c>
      <c r="S13" s="25" t="s">
        <v>382</v>
      </c>
      <c r="T13" s="25" t="s">
        <v>383</v>
      </c>
      <c r="U13" s="25" t="s">
        <v>381</v>
      </c>
    </row>
    <row r="14" spans="1:21" x14ac:dyDescent="0.25">
      <c r="A14" s="294" t="s">
        <v>2</v>
      </c>
      <c r="B14" s="28">
        <f>'Caratt. Sollec.'!E2</f>
        <v>48.195659680282844</v>
      </c>
      <c r="C14" s="28">
        <f>'Caratt. Sollec.'!F2</f>
        <v>48.195659680282844</v>
      </c>
      <c r="D14" s="296">
        <f>'Stima delle rigidezze 2 x'!AW51</f>
        <v>66.039999999999992</v>
      </c>
      <c r="E14" s="28">
        <f>C14/D14</f>
        <v>0.72979496790252651</v>
      </c>
      <c r="F14" s="31">
        <f>F15+E14</f>
        <v>13.993486658547804</v>
      </c>
      <c r="G14" s="296">
        <f>('Caratt. Sollec.'!B2/9810)</f>
        <v>3.7406727828746177E-2</v>
      </c>
      <c r="H14" s="28">
        <f>B14*F14</f>
        <v>674.42532073594828</v>
      </c>
      <c r="I14" s="31">
        <f>G14*F14^2</f>
        <v>7.3248982432161167</v>
      </c>
      <c r="J14" s="20">
        <f>2*PI()*SQRT(I21/H21)</f>
        <v>0.72607198362879088</v>
      </c>
      <c r="L14" s="294" t="s">
        <v>2</v>
      </c>
      <c r="M14" s="28">
        <f>'Caratt. Sollec.'!E2</f>
        <v>48.195659680282844</v>
      </c>
      <c r="N14" s="28">
        <f>'Caratt. Sollec.'!F2</f>
        <v>48.195659680282844</v>
      </c>
      <c r="O14" s="296">
        <f>'Stima delle rigidezze 2 y '!I42</f>
        <v>58.959999999999994</v>
      </c>
      <c r="P14" s="28">
        <f>N14/O14</f>
        <v>0.81742977748105239</v>
      </c>
      <c r="Q14" s="31">
        <f t="shared" ref="Q14:Q19" si="8">Q15+P14</f>
        <v>14.111579965843484</v>
      </c>
      <c r="R14" s="296">
        <f>('Caratt. Sollec.'!B2/9810)</f>
        <v>3.7406727828746177E-2</v>
      </c>
      <c r="S14" s="28">
        <f>M14*Q14</f>
        <v>680.11690558488999</v>
      </c>
      <c r="T14" s="31">
        <f>R14*Q14^2</f>
        <v>7.4490519310931438</v>
      </c>
      <c r="U14" s="20">
        <f>2*PI()*SQRT(T21/S21)</f>
        <v>0.72752300297832417</v>
      </c>
    </row>
    <row r="15" spans="1:21" x14ac:dyDescent="0.25">
      <c r="A15" s="294">
        <v>6</v>
      </c>
      <c r="B15" s="31">
        <f>'Caratt. Sollec.'!E3</f>
        <v>433.98383585693546</v>
      </c>
      <c r="C15" s="31">
        <f>'Caratt. Sollec.'!F3</f>
        <v>482.17949553721832</v>
      </c>
      <c r="D15" s="297">
        <f>'Stima delle rigidezze 2 x'!AM60</f>
        <v>475.88999999999987</v>
      </c>
      <c r="E15" s="31">
        <f t="shared" ref="E15:E19" si="9">C15/D15</f>
        <v>1.0132162801009024</v>
      </c>
      <c r="F15" s="31">
        <f>F16+E15</f>
        <v>13.263691690645278</v>
      </c>
      <c r="G15" s="297">
        <f>('Caratt. Sollec.'!B3/9810)</f>
        <v>0.39297247706422017</v>
      </c>
      <c r="H15" s="31">
        <f t="shared" ref="H15:H20" si="10">B15*F15</f>
        <v>5756.2277975299985</v>
      </c>
      <c r="I15" s="31">
        <f t="shared" ref="I15:I20" si="11">G15*F15^2</f>
        <v>69.133886298231886</v>
      </c>
      <c r="J15" s="12"/>
      <c r="L15" s="294">
        <v>6</v>
      </c>
      <c r="M15" s="31">
        <f>'Caratt. Sollec.'!E3</f>
        <v>433.98383585693546</v>
      </c>
      <c r="N15" s="31">
        <f>'Caratt. Sollec.'!F3</f>
        <v>482.17949553721832</v>
      </c>
      <c r="O15" s="297">
        <f>'Stima delle rigidezze 2 y '!AW55</f>
        <v>481.67</v>
      </c>
      <c r="P15" s="31">
        <f t="shared" ref="P15:P20" si="12">N15/O15</f>
        <v>1.0010577688816373</v>
      </c>
      <c r="Q15" s="31">
        <f t="shared" si="8"/>
        <v>13.294150188362432</v>
      </c>
      <c r="R15" s="297">
        <f>('Caratt. Sollec.'!B3/9810)</f>
        <v>0.39297247706422017</v>
      </c>
      <c r="S15" s="31">
        <f t="shared" ref="S15:S20" si="13">M15*Q15</f>
        <v>5769.4462932037295</v>
      </c>
      <c r="T15" s="31">
        <f t="shared" ref="T15:T20" si="14">R15*Q15^2</f>
        <v>69.451766437333788</v>
      </c>
      <c r="U15" s="12"/>
    </row>
    <row r="16" spans="1:21" x14ac:dyDescent="0.25">
      <c r="A16" s="294">
        <v>5</v>
      </c>
      <c r="B16" s="31">
        <f>'Caratt. Sollec.'!E4</f>
        <v>401.836885052718</v>
      </c>
      <c r="C16" s="31">
        <f>'Caratt. Sollec.'!F4</f>
        <v>884.01638058993626</v>
      </c>
      <c r="D16" s="297">
        <f>'Stima delle rigidezze 2 x'!$AC$60</f>
        <v>541.41000000000008</v>
      </c>
      <c r="E16" s="31">
        <f t="shared" si="9"/>
        <v>1.6328039389555717</v>
      </c>
      <c r="F16" s="31">
        <f t="shared" ref="F16:F19" si="15">F17+E16</f>
        <v>12.250475410544375</v>
      </c>
      <c r="G16" s="297">
        <f>('Caratt. Sollec.'!B4/9810)</f>
        <v>0.43663608562691125</v>
      </c>
      <c r="H16" s="31">
        <f t="shared" si="10"/>
        <v>4922.6928793880688</v>
      </c>
      <c r="I16" s="31">
        <f t="shared" si="11"/>
        <v>65.527788442354222</v>
      </c>
      <c r="J16" s="12"/>
      <c r="L16" s="294">
        <v>5</v>
      </c>
      <c r="M16" s="31">
        <f>'Caratt. Sollec.'!E4</f>
        <v>401.836885052718</v>
      </c>
      <c r="N16" s="31">
        <f>'Caratt. Sollec.'!F4</f>
        <v>884.01638058993626</v>
      </c>
      <c r="O16" s="297">
        <f>'Stima delle rigidezze 2 y '!$AM$55</f>
        <v>542.54000000000008</v>
      </c>
      <c r="P16" s="31">
        <f t="shared" si="12"/>
        <v>1.6294031418696062</v>
      </c>
      <c r="Q16" s="31">
        <f t="shared" si="8"/>
        <v>12.293092419480795</v>
      </c>
      <c r="R16" s="297">
        <f>('Caratt. Sollec.'!B4/9810)</f>
        <v>0.43663608562691125</v>
      </c>
      <c r="S16" s="31">
        <f t="shared" si="13"/>
        <v>4939.8179655093427</v>
      </c>
      <c r="T16" s="31">
        <f t="shared" si="14"/>
        <v>65.9844981950327</v>
      </c>
      <c r="U16" s="12"/>
    </row>
    <row r="17" spans="1:21" x14ac:dyDescent="0.25">
      <c r="A17" s="294">
        <v>4</v>
      </c>
      <c r="B17" s="31">
        <f>'Caratt. Sollec.'!E5</f>
        <v>321.46950804217437</v>
      </c>
      <c r="C17" s="31">
        <f>'Caratt. Sollec.'!F5</f>
        <v>1205.4858886321106</v>
      </c>
      <c r="D17" s="297">
        <f>'Stima delle rigidezze 2 x'!$S$60</f>
        <v>547.08000000000004</v>
      </c>
      <c r="E17" s="31">
        <f>C17/D17</f>
        <v>2.2034910591359775</v>
      </c>
      <c r="F17" s="31">
        <f t="shared" si="15"/>
        <v>10.617671471588803</v>
      </c>
      <c r="G17" s="297">
        <f>('Caratt. Sollec.'!B5/9810)</f>
        <v>0.43663608562691125</v>
      </c>
      <c r="H17" s="31">
        <f t="shared" si="10"/>
        <v>3413.2576245250821</v>
      </c>
      <c r="I17" s="31">
        <f t="shared" si="11"/>
        <v>49.224146180407288</v>
      </c>
      <c r="J17" s="12"/>
      <c r="L17" s="294">
        <v>4</v>
      </c>
      <c r="M17" s="31">
        <f>'Caratt. Sollec.'!E5</f>
        <v>321.46950804217437</v>
      </c>
      <c r="N17" s="31">
        <f>'Caratt. Sollec.'!F5</f>
        <v>1205.4858886321106</v>
      </c>
      <c r="O17" s="297">
        <f>'Stima delle rigidezze 2 y '!$AC$55</f>
        <v>546</v>
      </c>
      <c r="P17" s="31">
        <f t="shared" si="12"/>
        <v>2.2078496128793232</v>
      </c>
      <c r="Q17" s="31">
        <f t="shared" si="8"/>
        <v>10.663689277611189</v>
      </c>
      <c r="R17" s="297">
        <f>('Caratt. Sollec.'!B5/9810)</f>
        <v>0.43663608562691125</v>
      </c>
      <c r="S17" s="31">
        <f t="shared" si="13"/>
        <v>3428.0509459882787</v>
      </c>
      <c r="T17" s="31">
        <f t="shared" si="14"/>
        <v>49.651753300207396</v>
      </c>
      <c r="U17" s="12"/>
    </row>
    <row r="18" spans="1:21" x14ac:dyDescent="0.25">
      <c r="A18" s="294">
        <v>3</v>
      </c>
      <c r="B18" s="31">
        <f>'Caratt. Sollec.'!E6</f>
        <v>241.10213103163079</v>
      </c>
      <c r="C18" s="31">
        <f>'Caratt. Sollec.'!F6</f>
        <v>1446.5880196637413</v>
      </c>
      <c r="D18" s="297">
        <f>'Stima delle rigidezze 2 x'!$S$60</f>
        <v>547.08000000000004</v>
      </c>
      <c r="E18" s="31">
        <f>C18/D18</f>
        <v>2.6441983250415682</v>
      </c>
      <c r="F18" s="31">
        <f t="shared" si="15"/>
        <v>8.4141804124528257</v>
      </c>
      <c r="G18" s="297">
        <f>('Caratt. Sollec.'!B6/9810)</f>
        <v>0.43663608562691125</v>
      </c>
      <c r="H18" s="31">
        <f t="shared" si="10"/>
        <v>2028.6768283269823</v>
      </c>
      <c r="I18" s="31">
        <f t="shared" si="11"/>
        <v>30.913150222812412</v>
      </c>
      <c r="J18" s="12"/>
      <c r="L18" s="294">
        <v>3</v>
      </c>
      <c r="M18" s="31">
        <f>'Caratt. Sollec.'!E6</f>
        <v>241.10213103163079</v>
      </c>
      <c r="N18" s="31">
        <f>'Caratt. Sollec.'!F6</f>
        <v>1446.5880196637413</v>
      </c>
      <c r="O18" s="297">
        <f>'Stima delle rigidezze 2 y '!$AC$55</f>
        <v>546</v>
      </c>
      <c r="P18" s="31">
        <f t="shared" si="12"/>
        <v>2.6494286074427498</v>
      </c>
      <c r="Q18" s="31">
        <f t="shared" si="8"/>
        <v>8.4558396647318652</v>
      </c>
      <c r="R18" s="297">
        <f>('Caratt. Sollec.'!B6/9810)</f>
        <v>0.43663608562691125</v>
      </c>
      <c r="S18" s="31">
        <f t="shared" si="13"/>
        <v>2038.7209628286432</v>
      </c>
      <c r="T18" s="31">
        <f t="shared" si="14"/>
        <v>31.220014755114651</v>
      </c>
      <c r="U18" s="12"/>
    </row>
    <row r="19" spans="1:21" x14ac:dyDescent="0.25">
      <c r="A19" s="294">
        <v>2</v>
      </c>
      <c r="B19" s="31">
        <f>'Caratt. Sollec.'!E7</f>
        <v>160.73475402108718</v>
      </c>
      <c r="C19" s="31">
        <f>'Caratt. Sollec.'!F7</f>
        <v>1607.3227736848285</v>
      </c>
      <c r="D19" s="297">
        <f>'Stima delle rigidezze 2 x'!$S$60</f>
        <v>547.08000000000004</v>
      </c>
      <c r="E19" s="31">
        <f t="shared" si="9"/>
        <v>2.938003168978629</v>
      </c>
      <c r="F19" s="31">
        <f t="shared" si="15"/>
        <v>5.7699820874112566</v>
      </c>
      <c r="G19" s="297">
        <f>('Caratt. Sollec.'!B7/9810)</f>
        <v>0.43663608562691125</v>
      </c>
      <c r="H19" s="31">
        <f t="shared" si="10"/>
        <v>927.43665152612755</v>
      </c>
      <c r="I19" s="31">
        <f t="shared" si="11"/>
        <v>14.536791277706715</v>
      </c>
      <c r="J19" s="12"/>
      <c r="L19" s="294">
        <v>2</v>
      </c>
      <c r="M19" s="31">
        <f>'Caratt. Sollec.'!E7</f>
        <v>160.73475402108718</v>
      </c>
      <c r="N19" s="31">
        <f>'Caratt. Sollec.'!F7</f>
        <v>1607.3227736848285</v>
      </c>
      <c r="O19" s="297">
        <f>'Stima delle rigidezze 2 y '!$AC$55</f>
        <v>546</v>
      </c>
      <c r="P19" s="31">
        <f t="shared" si="12"/>
        <v>2.943814603818367</v>
      </c>
      <c r="Q19" s="31">
        <f t="shared" si="8"/>
        <v>5.8064110572891163</v>
      </c>
      <c r="R19" s="297">
        <f>('Caratt. Sollec.'!B7/9810)</f>
        <v>0.43663608562691125</v>
      </c>
      <c r="S19" s="31">
        <f t="shared" si="13"/>
        <v>933.29205303868684</v>
      </c>
      <c r="T19" s="31">
        <f t="shared" si="14"/>
        <v>14.72092773488491</v>
      </c>
      <c r="U19" s="12"/>
    </row>
    <row r="20" spans="1:21" x14ac:dyDescent="0.25">
      <c r="A20" s="295">
        <v>1</v>
      </c>
      <c r="B20" s="22">
        <f>'Caratt. Sollec.'!E8</f>
        <v>92.54425231517142</v>
      </c>
      <c r="C20" s="22">
        <f>'Caratt. Sollec.'!F8</f>
        <v>1699.8670259999999</v>
      </c>
      <c r="D20" s="298">
        <f>'Stima delle rigidezze 2 x'!I60</f>
        <v>600.23999999999978</v>
      </c>
      <c r="E20" s="22">
        <f>C20/D20</f>
        <v>2.8319789184326276</v>
      </c>
      <c r="F20" s="22">
        <f>E20</f>
        <v>2.8319789184326276</v>
      </c>
      <c r="G20" s="298">
        <f>('Caratt. Sollec.'!B8/9810)</f>
        <v>0.43663608562691125</v>
      </c>
      <c r="H20" s="22">
        <f t="shared" si="10"/>
        <v>262.08337157867533</v>
      </c>
      <c r="I20" s="22">
        <f t="shared" si="11"/>
        <v>3.5018670764376725</v>
      </c>
      <c r="J20" s="12"/>
      <c r="L20" s="295">
        <v>1</v>
      </c>
      <c r="M20" s="22">
        <f>'Caratt. Sollec.'!E8</f>
        <v>92.54425231517142</v>
      </c>
      <c r="N20" s="22">
        <f>'Caratt. Sollec.'!F8</f>
        <v>1699.8670259999999</v>
      </c>
      <c r="O20" s="298">
        <f>'Stima delle rigidezze 2 y '!S55</f>
        <v>593.81999999999982</v>
      </c>
      <c r="P20" s="22">
        <f t="shared" si="12"/>
        <v>2.8625964534707493</v>
      </c>
      <c r="Q20" s="22">
        <f>P20</f>
        <v>2.8625964534707493</v>
      </c>
      <c r="R20" s="298">
        <f>('Caratt. Sollec.'!B8/9810)</f>
        <v>0.43663608562691125</v>
      </c>
      <c r="S20" s="22">
        <f t="shared" si="13"/>
        <v>264.91684846651191</v>
      </c>
      <c r="T20" s="22">
        <f t="shared" si="14"/>
        <v>3.5779962638083802</v>
      </c>
      <c r="U20" s="12"/>
    </row>
    <row r="21" spans="1:21" x14ac:dyDescent="0.25">
      <c r="A21" s="295" t="s">
        <v>33</v>
      </c>
      <c r="H21" s="20">
        <f>SUM(H14:H20)</f>
        <v>17984.800473610881</v>
      </c>
      <c r="I21" s="20">
        <f>SUM(I14:I20)</f>
        <v>240.16252774116629</v>
      </c>
      <c r="L21" s="295" t="s">
        <v>33</v>
      </c>
      <c r="S21" s="20">
        <f>SUM(S14:S20)</f>
        <v>18054.361974620086</v>
      </c>
      <c r="T21" s="20">
        <f>SUM(T14:T20)</f>
        <v>242.05600861747499</v>
      </c>
    </row>
    <row r="23" spans="1:21" x14ac:dyDescent="0.25">
      <c r="H23" s="459" t="s">
        <v>389</v>
      </c>
      <c r="I23" s="460"/>
      <c r="J23" s="460"/>
      <c r="K23" s="460"/>
      <c r="L23" s="460"/>
      <c r="M23" s="460"/>
      <c r="N23" s="461"/>
    </row>
    <row r="24" spans="1:21" ht="45" x14ac:dyDescent="0.25">
      <c r="H24" s="293" t="s">
        <v>1</v>
      </c>
      <c r="I24" s="273" t="s">
        <v>392</v>
      </c>
      <c r="J24" s="273" t="s">
        <v>393</v>
      </c>
      <c r="K24" s="10" t="s">
        <v>394</v>
      </c>
      <c r="L24" s="273" t="s">
        <v>395</v>
      </c>
      <c r="M24" s="25" t="s">
        <v>390</v>
      </c>
      <c r="N24" s="25" t="s">
        <v>391</v>
      </c>
    </row>
    <row r="25" spans="1:21" x14ac:dyDescent="0.25">
      <c r="F25" s="358">
        <v>0.22</v>
      </c>
      <c r="G25" s="358" t="s">
        <v>400</v>
      </c>
      <c r="H25" s="294" t="s">
        <v>2</v>
      </c>
      <c r="I25" s="28">
        <f>MAX('Stima delle rigidezze 2 x'!AV46:AV51)</f>
        <v>20.399999999999999</v>
      </c>
      <c r="J25" s="28">
        <f>MAX('Stima delle rigidezze 2 y '!H37:H41)</f>
        <v>20.56</v>
      </c>
      <c r="K25" s="296">
        <f t="shared" ref="K25:K31" si="16">D14</f>
        <v>66.039999999999992</v>
      </c>
      <c r="L25" s="28">
        <f t="shared" ref="L25:L31" si="17">O14</f>
        <v>58.959999999999994</v>
      </c>
      <c r="M25" s="31">
        <f>K25/I25</f>
        <v>3.2372549019607844</v>
      </c>
      <c r="N25" s="296">
        <f>L25/J25</f>
        <v>2.867704280155642</v>
      </c>
    </row>
    <row r="26" spans="1:21" x14ac:dyDescent="0.25">
      <c r="F26" s="358">
        <v>0.24</v>
      </c>
      <c r="G26" s="358" t="s">
        <v>465</v>
      </c>
      <c r="H26" s="294">
        <v>6</v>
      </c>
      <c r="I26" s="31">
        <f>MAX('Stima delle rigidezze 2 x'!AL46:AL59,'Stima delle rigidezze 2 x'!AL39:AL43)</f>
        <v>32.799999999999997</v>
      </c>
      <c r="J26" s="31">
        <f>MAX('Stima delle rigidezze 2 y '!AV37:AV54,'Stima delle rigidezze 2 y '!AV30:AV34)</f>
        <v>34.25</v>
      </c>
      <c r="K26" s="297">
        <f t="shared" si="16"/>
        <v>475.88999999999987</v>
      </c>
      <c r="L26" s="31">
        <f t="shared" si="17"/>
        <v>481.67</v>
      </c>
      <c r="M26" s="31">
        <f t="shared" ref="M26:M31" si="18">K26/I26</f>
        <v>14.508841463414631</v>
      </c>
      <c r="N26" s="297">
        <f t="shared" ref="N26:N31" si="19">L26/J26</f>
        <v>14.063357664233576</v>
      </c>
    </row>
    <row r="27" spans="1:21" x14ac:dyDescent="0.25">
      <c r="F27" s="358">
        <v>0.24</v>
      </c>
      <c r="G27" s="358" t="s">
        <v>399</v>
      </c>
      <c r="H27" s="294">
        <v>5</v>
      </c>
      <c r="I27" s="31">
        <f>MAX('Stima delle rigidezze 2 x'!$R$46:$R$59)</f>
        <v>39.24</v>
      </c>
      <c r="J27" s="31">
        <f>MAX('Stima delle rigidezze 2 y '!$AB$37:$AB$54)</f>
        <v>41.6</v>
      </c>
      <c r="K27" s="297">
        <f t="shared" si="16"/>
        <v>541.41000000000008</v>
      </c>
      <c r="L27" s="31">
        <f t="shared" si="17"/>
        <v>542.54000000000008</v>
      </c>
      <c r="M27" s="31">
        <f t="shared" si="18"/>
        <v>13.797400611620796</v>
      </c>
      <c r="N27" s="297">
        <f t="shared" si="19"/>
        <v>13.041826923076924</v>
      </c>
    </row>
    <row r="28" spans="1:21" x14ac:dyDescent="0.25">
      <c r="F28" s="358">
        <v>0.24</v>
      </c>
      <c r="G28" s="358" t="s">
        <v>399</v>
      </c>
      <c r="H28" s="294">
        <v>4</v>
      </c>
      <c r="I28" s="31">
        <f>MAX('Stima delle rigidezze 2 x'!$R$46:$R$59)</f>
        <v>39.24</v>
      </c>
      <c r="J28" s="31">
        <f>MAX('Stima delle rigidezze 2 y '!$AB$37:$AB$54)</f>
        <v>41.6</v>
      </c>
      <c r="K28" s="297">
        <f>D17</f>
        <v>547.08000000000004</v>
      </c>
      <c r="L28" s="31">
        <f t="shared" si="17"/>
        <v>546</v>
      </c>
      <c r="M28" s="31">
        <f t="shared" si="18"/>
        <v>13.941896024464832</v>
      </c>
      <c r="N28" s="297">
        <f t="shared" si="19"/>
        <v>13.125</v>
      </c>
    </row>
    <row r="29" spans="1:21" x14ac:dyDescent="0.25">
      <c r="F29" s="358">
        <v>0.24</v>
      </c>
      <c r="G29" s="358" t="s">
        <v>399</v>
      </c>
      <c r="H29" s="294">
        <v>3</v>
      </c>
      <c r="I29" s="31">
        <f>MAX('Stima delle rigidezze 2 x'!$R$46:$R$59)</f>
        <v>39.24</v>
      </c>
      <c r="J29" s="31">
        <f>MAX('Stima delle rigidezze 2 y '!$AB$37:$AB$54)</f>
        <v>41.6</v>
      </c>
      <c r="K29" s="297">
        <f>D18</f>
        <v>547.08000000000004</v>
      </c>
      <c r="L29" s="31">
        <f t="shared" si="17"/>
        <v>546</v>
      </c>
      <c r="M29" s="31">
        <f t="shared" si="18"/>
        <v>13.941896024464832</v>
      </c>
      <c r="N29" s="297">
        <f t="shared" si="19"/>
        <v>13.125</v>
      </c>
    </row>
    <row r="30" spans="1:21" x14ac:dyDescent="0.25">
      <c r="F30" s="358">
        <v>0.24</v>
      </c>
      <c r="G30" s="358" t="s">
        <v>399</v>
      </c>
      <c r="H30" s="294">
        <v>2</v>
      </c>
      <c r="I30" s="31">
        <f>MAX('Stima delle rigidezze 2 x'!$R$46:$R$59)</f>
        <v>39.24</v>
      </c>
      <c r="J30" s="31">
        <f>MAX('Stima delle rigidezze 2 y '!$AB$37:$AB$54)</f>
        <v>41.6</v>
      </c>
      <c r="K30" s="297">
        <f t="shared" si="16"/>
        <v>547.08000000000004</v>
      </c>
      <c r="L30" s="31">
        <f t="shared" si="17"/>
        <v>546</v>
      </c>
      <c r="M30" s="31">
        <f t="shared" si="18"/>
        <v>13.941896024464832</v>
      </c>
      <c r="N30" s="297">
        <f t="shared" si="19"/>
        <v>13.125</v>
      </c>
    </row>
    <row r="31" spans="1:21" x14ac:dyDescent="0.25">
      <c r="F31" s="358">
        <v>0.24</v>
      </c>
      <c r="G31" s="358" t="s">
        <v>464</v>
      </c>
      <c r="H31" s="295">
        <v>1</v>
      </c>
      <c r="I31" s="22">
        <f>MAX('Stima delle rigidezze 2 x'!H46:H59)</f>
        <v>40.06</v>
      </c>
      <c r="J31" s="22">
        <f>MAX('Stima delle rigidezze 2 y '!R37:R54)</f>
        <v>41.2</v>
      </c>
      <c r="K31" s="298">
        <f t="shared" si="16"/>
        <v>600.23999999999978</v>
      </c>
      <c r="L31" s="22">
        <f t="shared" si="17"/>
        <v>593.81999999999982</v>
      </c>
      <c r="M31" s="22">
        <f t="shared" si="18"/>
        <v>14.983524712930597</v>
      </c>
      <c r="N31" s="298">
        <f t="shared" si="19"/>
        <v>14.4131067961165</v>
      </c>
    </row>
    <row r="33" spans="2:14" ht="15" customHeight="1" x14ac:dyDescent="0.25">
      <c r="H33" s="438" t="s">
        <v>484</v>
      </c>
      <c r="I33" s="439"/>
      <c r="J33" s="439"/>
      <c r="K33" s="439"/>
      <c r="L33" s="439"/>
      <c r="M33" s="439"/>
      <c r="N33" s="440"/>
    </row>
    <row r="34" spans="2:14" x14ac:dyDescent="0.25">
      <c r="B34" s="60"/>
      <c r="C34" s="60"/>
      <c r="D34" s="60"/>
      <c r="E34" s="60"/>
      <c r="F34" s="60"/>
      <c r="G34" s="60"/>
      <c r="H34" s="444"/>
      <c r="I34" s="445"/>
      <c r="J34" s="445"/>
      <c r="K34" s="445"/>
      <c r="L34" s="445"/>
      <c r="M34" s="445"/>
      <c r="N34" s="446"/>
    </row>
  </sheetData>
  <mergeCells count="6">
    <mergeCell ref="H23:N23"/>
    <mergeCell ref="H33:N34"/>
    <mergeCell ref="A12:J12"/>
    <mergeCell ref="L12:U12"/>
    <mergeCell ref="A1:J1"/>
    <mergeCell ref="L1:U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zoomScale="90" zoomScaleNormal="90" workbookViewId="0">
      <selection activeCell="D4" sqref="D4"/>
    </sheetView>
  </sheetViews>
  <sheetFormatPr defaultRowHeight="15" x14ac:dyDescent="0.25"/>
  <cols>
    <col min="9" max="9" width="10.5703125" bestFit="1" customWidth="1"/>
    <col min="12" max="12" width="8.28515625" customWidth="1"/>
  </cols>
  <sheetData>
    <row r="1" spans="1:13" ht="18" x14ac:dyDescent="0.25">
      <c r="A1" s="310" t="s">
        <v>1</v>
      </c>
      <c r="B1" s="314" t="s">
        <v>402</v>
      </c>
      <c r="C1" s="314" t="s">
        <v>404</v>
      </c>
      <c r="D1" s="314" t="s">
        <v>406</v>
      </c>
      <c r="E1" s="314" t="s">
        <v>409</v>
      </c>
      <c r="F1" s="314" t="s">
        <v>403</v>
      </c>
      <c r="G1" s="314" t="s">
        <v>405</v>
      </c>
      <c r="H1" s="314" t="s">
        <v>407</v>
      </c>
      <c r="I1" s="314" t="s">
        <v>408</v>
      </c>
      <c r="J1" s="314" t="s">
        <v>411</v>
      </c>
      <c r="K1" s="314" t="s">
        <v>410</v>
      </c>
      <c r="L1" s="314" t="s">
        <v>412</v>
      </c>
      <c r="M1" s="314" t="s">
        <v>413</v>
      </c>
    </row>
    <row r="2" spans="1:13" x14ac:dyDescent="0.25">
      <c r="A2" s="310" t="s">
        <v>401</v>
      </c>
      <c r="B2" s="310">
        <f>'Stima delle rigidezze 2 x'!AW51</f>
        <v>66.039999999999992</v>
      </c>
      <c r="C2" s="310">
        <v>41.23</v>
      </c>
      <c r="D2" s="310">
        <v>463.77</v>
      </c>
      <c r="E2" s="12">
        <f t="shared" ref="E2:E8" si="0">C2/B2</f>
        <v>0.6243185947910358</v>
      </c>
      <c r="F2" s="12">
        <f>'Stima delle rigidezze 2 y '!I42</f>
        <v>58.959999999999994</v>
      </c>
      <c r="G2" s="310">
        <v>-65.77</v>
      </c>
      <c r="H2" s="310">
        <v>470.54</v>
      </c>
      <c r="I2" s="12">
        <f>G2/F2</f>
        <v>-1.1155020352781548</v>
      </c>
      <c r="J2" s="310">
        <v>0</v>
      </c>
      <c r="K2" s="310">
        <v>0</v>
      </c>
      <c r="L2" s="12">
        <f t="shared" ref="L2:L8" si="1">I2-J2</f>
        <v>-1.1155020352781548</v>
      </c>
      <c r="M2" s="12">
        <f>-E2+K2</f>
        <v>-0.6243185947910358</v>
      </c>
    </row>
    <row r="3" spans="1:13" x14ac:dyDescent="0.25">
      <c r="A3" s="310">
        <v>6</v>
      </c>
      <c r="B3" s="310">
        <f>'Stima delle rigidezze 2 x'!AM60</f>
        <v>475.88999999999987</v>
      </c>
      <c r="C3" s="310">
        <v>237.71</v>
      </c>
      <c r="D3" s="310">
        <v>28103.14</v>
      </c>
      <c r="E3" s="12">
        <f t="shared" si="0"/>
        <v>0.49950618840488364</v>
      </c>
      <c r="F3" s="12">
        <f>'Stima delle rigidezze 2 y '!AW55</f>
        <v>481.67</v>
      </c>
      <c r="G3" s="310">
        <v>-248.54</v>
      </c>
      <c r="H3" s="310">
        <v>29475.74</v>
      </c>
      <c r="I3" s="12">
        <f t="shared" ref="I3:I8" si="2">G3/F3</f>
        <v>-0.51599642909045607</v>
      </c>
      <c r="J3" s="310">
        <v>0</v>
      </c>
      <c r="K3" s="310">
        <v>0</v>
      </c>
      <c r="L3" s="12">
        <f t="shared" si="1"/>
        <v>-0.51599642909045607</v>
      </c>
      <c r="M3" s="12">
        <f t="shared" ref="M3:M8" si="3">E3-K3</f>
        <v>0.49950618840488364</v>
      </c>
    </row>
    <row r="4" spans="1:13" x14ac:dyDescent="0.25">
      <c r="A4" s="310">
        <v>5</v>
      </c>
      <c r="B4" s="369">
        <f>'Stima delle rigidezze 2 x'!$AC$60</f>
        <v>541.41000000000008</v>
      </c>
      <c r="C4" s="310">
        <v>388.97</v>
      </c>
      <c r="D4" s="310">
        <v>31497.64</v>
      </c>
      <c r="E4" s="12">
        <f t="shared" si="0"/>
        <v>0.71843889104375602</v>
      </c>
      <c r="F4" s="12">
        <f>'Stima delle rigidezze 2 y '!$AM$55</f>
        <v>542.54000000000008</v>
      </c>
      <c r="G4" s="310">
        <v>-309.39999999999998</v>
      </c>
      <c r="H4" s="310">
        <v>32807.18</v>
      </c>
      <c r="I4" s="12">
        <f t="shared" si="2"/>
        <v>-0.57028053231098152</v>
      </c>
      <c r="J4" s="310">
        <v>0</v>
      </c>
      <c r="K4" s="310">
        <v>0</v>
      </c>
      <c r="L4" s="12">
        <f t="shared" si="1"/>
        <v>-0.57028053231098152</v>
      </c>
      <c r="M4" s="12">
        <f t="shared" si="3"/>
        <v>0.71843889104375602</v>
      </c>
    </row>
    <row r="5" spans="1:13" x14ac:dyDescent="0.25">
      <c r="A5" s="310">
        <v>4</v>
      </c>
      <c r="B5" s="369">
        <f>'Stima delle rigidezze 2 x'!$S$60</f>
        <v>547.08000000000004</v>
      </c>
      <c r="C5" s="369">
        <v>358.76</v>
      </c>
      <c r="D5" s="369">
        <v>31750.39</v>
      </c>
      <c r="E5" s="12">
        <f>C5/B5</f>
        <v>0.65577246472179562</v>
      </c>
      <c r="F5" s="12">
        <f>'Stima delle rigidezze 2 y '!$AC$55</f>
        <v>546</v>
      </c>
      <c r="G5" s="369">
        <v>-313.86</v>
      </c>
      <c r="H5" s="369">
        <v>32782.35</v>
      </c>
      <c r="I5" s="12">
        <f t="shared" si="2"/>
        <v>-0.57483516483516484</v>
      </c>
      <c r="J5" s="310">
        <v>0</v>
      </c>
      <c r="K5" s="310">
        <v>0</v>
      </c>
      <c r="L5" s="12">
        <f t="shared" si="1"/>
        <v>-0.57483516483516484</v>
      </c>
      <c r="M5" s="12">
        <f t="shared" si="3"/>
        <v>0.65577246472179562</v>
      </c>
    </row>
    <row r="6" spans="1:13" x14ac:dyDescent="0.25">
      <c r="A6" s="310">
        <v>3</v>
      </c>
      <c r="B6" s="369">
        <f>'Stima delle rigidezze 2 x'!$S$60</f>
        <v>547.08000000000004</v>
      </c>
      <c r="C6" s="369">
        <v>358.76</v>
      </c>
      <c r="D6" s="369">
        <v>31750.39</v>
      </c>
      <c r="E6" s="12">
        <f t="shared" si="0"/>
        <v>0.65577246472179562</v>
      </c>
      <c r="F6" s="12">
        <f>'Stima delle rigidezze 2 y '!$AC$55</f>
        <v>546</v>
      </c>
      <c r="G6" s="369">
        <v>-313.86</v>
      </c>
      <c r="H6" s="369">
        <v>32782.35</v>
      </c>
      <c r="I6" s="12">
        <f t="shared" si="2"/>
        <v>-0.57483516483516484</v>
      </c>
      <c r="J6" s="310">
        <v>0</v>
      </c>
      <c r="K6" s="310">
        <v>0</v>
      </c>
      <c r="L6" s="12">
        <f t="shared" si="1"/>
        <v>-0.57483516483516484</v>
      </c>
      <c r="M6" s="12">
        <f t="shared" si="3"/>
        <v>0.65577246472179562</v>
      </c>
    </row>
    <row r="7" spans="1:13" x14ac:dyDescent="0.25">
      <c r="A7" s="310">
        <v>2</v>
      </c>
      <c r="B7" s="310">
        <f>'Stima delle rigidezze 2 x'!$S$60</f>
        <v>547.08000000000004</v>
      </c>
      <c r="C7" s="369">
        <v>358.76</v>
      </c>
      <c r="D7" s="369">
        <v>31750.39</v>
      </c>
      <c r="E7" s="12">
        <f t="shared" si="0"/>
        <v>0.65577246472179562</v>
      </c>
      <c r="F7" s="12">
        <f>'Stima delle rigidezze 2 y '!$AC$55</f>
        <v>546</v>
      </c>
      <c r="G7" s="369">
        <v>-313.86</v>
      </c>
      <c r="H7" s="369">
        <v>32782.35</v>
      </c>
      <c r="I7" s="12">
        <f t="shared" si="2"/>
        <v>-0.57483516483516484</v>
      </c>
      <c r="J7" s="310">
        <v>0</v>
      </c>
      <c r="K7" s="310">
        <v>0</v>
      </c>
      <c r="L7" s="12">
        <f t="shared" si="1"/>
        <v>-0.57483516483516484</v>
      </c>
      <c r="M7" s="12">
        <f t="shared" si="3"/>
        <v>0.65577246472179562</v>
      </c>
    </row>
    <row r="8" spans="1:13" x14ac:dyDescent="0.25">
      <c r="A8" s="310">
        <v>1</v>
      </c>
      <c r="B8" s="310">
        <f>'Stima delle rigidezze 2 x'!I60</f>
        <v>600.23999999999978</v>
      </c>
      <c r="C8" s="310">
        <v>-48.4</v>
      </c>
      <c r="D8" s="310">
        <v>34331.699999999997</v>
      </c>
      <c r="E8" s="12">
        <f t="shared" si="0"/>
        <v>-8.0634412901506095E-2</v>
      </c>
      <c r="F8" s="12">
        <f>'Stima delle rigidezze 2 y '!S55</f>
        <v>593.81999999999982</v>
      </c>
      <c r="G8" s="310">
        <v>-173.76</v>
      </c>
      <c r="H8" s="310">
        <v>34586.800000000003</v>
      </c>
      <c r="I8" s="12">
        <f t="shared" si="2"/>
        <v>-0.29261392341113474</v>
      </c>
      <c r="J8" s="310">
        <v>0</v>
      </c>
      <c r="K8" s="310">
        <v>0</v>
      </c>
      <c r="L8" s="12">
        <f t="shared" si="1"/>
        <v>-0.29261392341113474</v>
      </c>
      <c r="M8" s="12">
        <f t="shared" si="3"/>
        <v>-8.0634412901506095E-2</v>
      </c>
    </row>
    <row r="11" spans="1:13" x14ac:dyDescent="0.25">
      <c r="C11" s="236"/>
      <c r="D11" s="236"/>
      <c r="E11" s="236"/>
      <c r="F11" s="236"/>
      <c r="G11" s="236"/>
      <c r="H11" s="236"/>
      <c r="I11" s="236"/>
      <c r="J11" s="236"/>
      <c r="K11" s="236"/>
      <c r="L11" s="236"/>
    </row>
    <row r="12" spans="1:13" ht="60" customHeight="1" x14ac:dyDescent="0.2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zoomScale="90" zoomScaleNormal="90" workbookViewId="0">
      <selection activeCell="I4" sqref="I4"/>
    </sheetView>
  </sheetViews>
  <sheetFormatPr defaultRowHeight="15" x14ac:dyDescent="0.25"/>
  <sheetData>
    <row r="1" spans="1:15" ht="90" x14ac:dyDescent="0.25">
      <c r="A1" s="462" t="s">
        <v>415</v>
      </c>
      <c r="B1" s="462"/>
      <c r="C1" s="462"/>
      <c r="D1" s="462"/>
      <c r="E1" s="462"/>
      <c r="F1" s="462"/>
      <c r="G1" s="462"/>
      <c r="H1" s="152" t="s">
        <v>416</v>
      </c>
      <c r="I1" s="411" t="s">
        <v>414</v>
      </c>
      <c r="J1" s="411"/>
      <c r="K1" s="411"/>
      <c r="L1" s="411"/>
      <c r="M1" s="411"/>
      <c r="N1" s="411"/>
    </row>
    <row r="2" spans="1:15" ht="30" x14ac:dyDescent="0.25">
      <c r="A2" s="152" t="s">
        <v>422</v>
      </c>
      <c r="B2" s="152" t="s">
        <v>418</v>
      </c>
      <c r="C2" s="310" t="s">
        <v>417</v>
      </c>
      <c r="D2" s="152" t="s">
        <v>421</v>
      </c>
      <c r="E2" s="310" t="s">
        <v>8</v>
      </c>
      <c r="F2" s="152" t="s">
        <v>381</v>
      </c>
      <c r="G2" s="152" t="s">
        <v>419</v>
      </c>
      <c r="H2" s="152" t="s">
        <v>420</v>
      </c>
      <c r="J2" s="315" t="s">
        <v>1</v>
      </c>
      <c r="K2" s="152" t="s">
        <v>424</v>
      </c>
      <c r="L2" s="152" t="s">
        <v>426</v>
      </c>
      <c r="M2" s="152" t="s">
        <v>425</v>
      </c>
      <c r="N2" s="152" t="s">
        <v>427</v>
      </c>
      <c r="O2" s="152" t="s">
        <v>423</v>
      </c>
    </row>
    <row r="3" spans="1:15" x14ac:dyDescent="0.25">
      <c r="A3" s="310">
        <v>50</v>
      </c>
      <c r="B3" s="310">
        <v>5.6000000000000001E-2</v>
      </c>
      <c r="C3" s="310">
        <v>2.5030000000000001</v>
      </c>
      <c r="D3" s="310">
        <v>0.26800000000000002</v>
      </c>
      <c r="E3" s="310">
        <v>1.5</v>
      </c>
      <c r="F3" s="12">
        <f>'Dimens. Verifica'!K2</f>
        <v>0.73</v>
      </c>
      <c r="G3" s="310">
        <v>5.8999999999999997E-2</v>
      </c>
      <c r="H3" s="310">
        <f>'Dimens. Verifica'!L13</f>
        <v>7.8E-2</v>
      </c>
      <c r="I3" s="12">
        <f>H3/G3</f>
        <v>1.3220338983050848</v>
      </c>
      <c r="J3" s="315" t="s">
        <v>2</v>
      </c>
      <c r="K3" s="12">
        <f>'Controllo Periodo'!E14</f>
        <v>0.72979496790252651</v>
      </c>
      <c r="L3" s="12">
        <f t="shared" ref="L3:L9" si="0">K3*$I$3</f>
        <v>0.9648136863796114</v>
      </c>
      <c r="M3" s="12">
        <f>'Controllo Periodo'!P14</f>
        <v>0.81742977748105239</v>
      </c>
      <c r="N3" s="12">
        <f t="shared" ref="N3:N9" si="1">M3*$I$3</f>
        <v>1.0806698753139337</v>
      </c>
      <c r="O3" s="310">
        <v>16</v>
      </c>
    </row>
    <row r="4" spans="1:15" x14ac:dyDescent="0.25">
      <c r="J4" s="315">
        <v>6</v>
      </c>
      <c r="K4" s="12">
        <f>'Controllo Periodo'!E15</f>
        <v>1.0132162801009024</v>
      </c>
      <c r="L4" s="12">
        <f t="shared" si="0"/>
        <v>1.3395062686079726</v>
      </c>
      <c r="M4" s="12">
        <f>'Controllo Periodo'!P15</f>
        <v>1.0010577688816373</v>
      </c>
      <c r="N4" s="12">
        <f t="shared" si="1"/>
        <v>1.3234323046231815</v>
      </c>
      <c r="O4" s="310">
        <v>16</v>
      </c>
    </row>
    <row r="5" spans="1:15" x14ac:dyDescent="0.25">
      <c r="J5" s="315">
        <v>5</v>
      </c>
      <c r="K5" s="12">
        <f>'Controllo Periodo'!E16</f>
        <v>1.6328039389555717</v>
      </c>
      <c r="L5" s="12">
        <f t="shared" si="0"/>
        <v>2.1586221565853321</v>
      </c>
      <c r="M5" s="12">
        <f>'Controllo Periodo'!P16</f>
        <v>1.6294031418696062</v>
      </c>
      <c r="N5" s="12">
        <f t="shared" si="1"/>
        <v>2.1541261875564288</v>
      </c>
      <c r="O5" s="310">
        <v>16</v>
      </c>
    </row>
    <row r="6" spans="1:15" x14ac:dyDescent="0.25">
      <c r="J6" s="315">
        <v>4</v>
      </c>
      <c r="K6" s="12">
        <f>'Controllo Periodo'!E17</f>
        <v>2.2034910591359775</v>
      </c>
      <c r="L6" s="12">
        <f t="shared" si="0"/>
        <v>2.9130898747899363</v>
      </c>
      <c r="M6" s="12">
        <f>'Controllo Periodo'!P17</f>
        <v>2.2078496128793232</v>
      </c>
      <c r="N6" s="12">
        <f t="shared" si="1"/>
        <v>2.918852030586224</v>
      </c>
      <c r="O6" s="310">
        <v>16</v>
      </c>
    </row>
    <row r="7" spans="1:15" x14ac:dyDescent="0.25">
      <c r="J7" s="315">
        <v>3</v>
      </c>
      <c r="K7" s="12">
        <f>'Controllo Periodo'!E18</f>
        <v>2.6441983250415682</v>
      </c>
      <c r="L7" s="12">
        <f t="shared" si="0"/>
        <v>3.4957198195464798</v>
      </c>
      <c r="M7" s="12">
        <f>'Controllo Periodo'!P18</f>
        <v>2.6494286074427498</v>
      </c>
      <c r="N7" s="12">
        <f t="shared" si="1"/>
        <v>3.5026344301785506</v>
      </c>
      <c r="O7" s="310">
        <v>16</v>
      </c>
    </row>
    <row r="8" spans="1:15" x14ac:dyDescent="0.25">
      <c r="J8" s="315">
        <v>2</v>
      </c>
      <c r="K8" s="12">
        <f>'Controllo Periodo'!E19</f>
        <v>2.938003168978629</v>
      </c>
      <c r="L8" s="12">
        <f t="shared" si="0"/>
        <v>3.8841397827175097</v>
      </c>
      <c r="M8" s="12">
        <f>'Controllo Periodo'!P19</f>
        <v>2.943814603818367</v>
      </c>
      <c r="N8" s="12">
        <f t="shared" si="1"/>
        <v>3.8918226965734344</v>
      </c>
      <c r="O8" s="310">
        <v>16</v>
      </c>
    </row>
    <row r="9" spans="1:15" x14ac:dyDescent="0.25">
      <c r="J9" s="315">
        <v>1</v>
      </c>
      <c r="K9" s="12">
        <f>'Controllo Periodo'!E20</f>
        <v>2.8319789184326276</v>
      </c>
      <c r="L9" s="12">
        <f t="shared" si="0"/>
        <v>3.7439721294533044</v>
      </c>
      <c r="M9" s="12">
        <f>'Controllo Periodo'!P20</f>
        <v>2.8625964534707493</v>
      </c>
      <c r="N9" s="12">
        <f t="shared" si="1"/>
        <v>3.7844495486562448</v>
      </c>
      <c r="O9" s="310">
        <v>16</v>
      </c>
    </row>
  </sheetData>
  <mergeCells count="2">
    <mergeCell ref="A1:G1"/>
    <mergeCell ref="I1:N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zoomScale="90" zoomScaleNormal="90" workbookViewId="0">
      <selection activeCell="P19" sqref="P19"/>
    </sheetView>
  </sheetViews>
  <sheetFormatPr defaultRowHeight="15" x14ac:dyDescent="0.25"/>
  <cols>
    <col min="8" max="8" width="12.140625" bestFit="1" customWidth="1"/>
    <col min="9" max="9" width="13" bestFit="1" customWidth="1"/>
  </cols>
  <sheetData>
    <row r="1" spans="1:18" x14ac:dyDescent="0.25">
      <c r="D1" s="79"/>
      <c r="E1" s="79"/>
      <c r="F1" s="79"/>
      <c r="G1" s="79"/>
      <c r="N1" s="411" t="s">
        <v>213</v>
      </c>
      <c r="O1" s="411"/>
      <c r="P1" s="411"/>
    </row>
    <row r="2" spans="1:18" x14ac:dyDescent="0.25">
      <c r="D2" s="79"/>
      <c r="E2" s="79"/>
      <c r="F2" s="79"/>
      <c r="G2" s="79"/>
      <c r="N2" t="s">
        <v>211</v>
      </c>
      <c r="O2" t="s">
        <v>214</v>
      </c>
      <c r="P2" t="s">
        <v>212</v>
      </c>
    </row>
    <row r="3" spans="1:18" x14ac:dyDescent="0.25">
      <c r="N3" s="71">
        <f>'Dimens. Travi Emergen.'!F4</f>
        <v>30</v>
      </c>
      <c r="O3" s="71">
        <f>'Dimens. Travi Emergen.'!G4</f>
        <v>4</v>
      </c>
      <c r="P3" s="71">
        <f>'Dimens. Travi Emergen.'!H4</f>
        <v>70</v>
      </c>
    </row>
    <row r="4" spans="1:18" x14ac:dyDescent="0.25">
      <c r="N4" s="71">
        <f>'Dimens. Travi Emergen.'!F10</f>
        <v>30</v>
      </c>
      <c r="O4" s="71">
        <f>'Dimens. Travi Emergen.'!G10</f>
        <v>4</v>
      </c>
      <c r="P4" s="71">
        <f>'Dimens. Travi Emergen.'!H10</f>
        <v>70</v>
      </c>
    </row>
    <row r="5" spans="1:18" ht="15.75" thickBot="1" x14ac:dyDescent="0.3">
      <c r="C5" s="463" t="s">
        <v>216</v>
      </c>
      <c r="D5" s="463"/>
      <c r="E5" s="463"/>
      <c r="N5" s="71">
        <f>'Dimens. Travi Emergen.'!F11</f>
        <v>30</v>
      </c>
      <c r="O5" s="71">
        <f>'Dimens. Travi Emergen.'!G11</f>
        <v>4</v>
      </c>
      <c r="P5" s="71">
        <f>'Dimens. Travi Emergen.'!H11</f>
        <v>70</v>
      </c>
    </row>
    <row r="6" spans="1:18" ht="18.75" x14ac:dyDescent="0.25">
      <c r="A6" s="1" t="s">
        <v>9</v>
      </c>
      <c r="B6" s="1" t="s">
        <v>7</v>
      </c>
      <c r="C6" s="63" t="s">
        <v>74</v>
      </c>
      <c r="D6" s="66"/>
      <c r="E6" s="67"/>
      <c r="G6" s="78" t="s">
        <v>112</v>
      </c>
      <c r="H6" s="78" t="s">
        <v>109</v>
      </c>
      <c r="K6" s="168" t="s">
        <v>205</v>
      </c>
      <c r="L6" s="166" t="s">
        <v>206</v>
      </c>
      <c r="N6" s="71">
        <f>'Dimens. Travi Emergen.'!F12</f>
        <v>0</v>
      </c>
      <c r="O6" s="71">
        <f>'Dimens. Travi Emergen.'!G12</f>
        <v>0</v>
      </c>
      <c r="P6" s="71">
        <f>'Dimens. Travi Emergen.'!H12</f>
        <v>0</v>
      </c>
    </row>
    <row r="7" spans="1:18" x14ac:dyDescent="0.25">
      <c r="A7" s="1" t="s">
        <v>10</v>
      </c>
      <c r="B7" s="1">
        <v>1</v>
      </c>
      <c r="C7" s="64" t="s">
        <v>75</v>
      </c>
      <c r="D7" s="57">
        <f>IF('Dimens. Travi Emergen.'!K4="16/20",16,0)</f>
        <v>0</v>
      </c>
      <c r="E7" s="68">
        <f>(D7+D8+D9+D10+D11+D12+D13+D14)</f>
        <v>25</v>
      </c>
      <c r="G7" s="78" t="s">
        <v>114</v>
      </c>
      <c r="H7" s="78" t="s">
        <v>143</v>
      </c>
      <c r="K7">
        <v>6</v>
      </c>
      <c r="L7">
        <v>1</v>
      </c>
      <c r="N7" s="71">
        <f>'Dimens. Travi Emergen.'!F13</f>
        <v>0</v>
      </c>
      <c r="O7" s="71">
        <f>'Dimens. Travi Emergen.'!G13</f>
        <v>0</v>
      </c>
      <c r="P7" s="71">
        <f>'Dimens. Travi Emergen.'!H13</f>
        <v>0</v>
      </c>
    </row>
    <row r="8" spans="1:18" x14ac:dyDescent="0.25">
      <c r="B8" s="1">
        <v>0.8</v>
      </c>
      <c r="C8" s="64" t="s">
        <v>76</v>
      </c>
      <c r="D8" s="57">
        <f>IF('Dimens. Travi Emergen.'!K4="20/25",20,0)</f>
        <v>0</v>
      </c>
      <c r="E8" s="68"/>
      <c r="G8" s="78" t="s">
        <v>164</v>
      </c>
      <c r="H8" s="78" t="s">
        <v>113</v>
      </c>
      <c r="K8">
        <v>8</v>
      </c>
      <c r="L8">
        <v>2</v>
      </c>
    </row>
    <row r="9" spans="1:18" x14ac:dyDescent="0.25">
      <c r="C9" s="64" t="s">
        <v>77</v>
      </c>
      <c r="D9" s="57">
        <f>IF('Dimens. Travi Emergen.'!K4="25/30",25,0)</f>
        <v>25</v>
      </c>
      <c r="E9" s="68"/>
      <c r="K9">
        <v>10</v>
      </c>
      <c r="L9">
        <v>3</v>
      </c>
    </row>
    <row r="10" spans="1:18" x14ac:dyDescent="0.25">
      <c r="C10" s="64" t="s">
        <v>78</v>
      </c>
      <c r="D10" s="57">
        <f>IF('Dimens. Travi Emergen.'!K4="28/35",28,0)</f>
        <v>0</v>
      </c>
      <c r="E10" s="68"/>
      <c r="K10">
        <v>12</v>
      </c>
      <c r="L10">
        <v>4</v>
      </c>
    </row>
    <row r="11" spans="1:18" ht="30" x14ac:dyDescent="0.25">
      <c r="C11" s="64" t="s">
        <v>79</v>
      </c>
      <c r="D11" s="57">
        <f>IF('Dimens. Travi Emergen.'!K4="35/45",35,0)</f>
        <v>0</v>
      </c>
      <c r="E11" s="68"/>
      <c r="G11" s="150" t="s">
        <v>217</v>
      </c>
      <c r="H11" s="150" t="s">
        <v>218</v>
      </c>
      <c r="K11">
        <v>14</v>
      </c>
      <c r="L11">
        <v>5</v>
      </c>
      <c r="Q11" s="151"/>
    </row>
    <row r="12" spans="1:18" x14ac:dyDescent="0.25">
      <c r="C12" s="64" t="s">
        <v>80</v>
      </c>
      <c r="D12" s="57">
        <f>IF('Dimens. Travi Emergen.'!K4="40/50",40,0)</f>
        <v>0</v>
      </c>
      <c r="E12" s="68"/>
      <c r="G12">
        <f>22000*((E7+8)/10)^0.3</f>
        <v>31475.806210019346</v>
      </c>
      <c r="H12">
        <f>G12*1000</f>
        <v>31475806.210019346</v>
      </c>
      <c r="K12">
        <v>16</v>
      </c>
      <c r="L12">
        <v>6</v>
      </c>
      <c r="Q12" s="151"/>
      <c r="R12" s="151"/>
    </row>
    <row r="13" spans="1:18" x14ac:dyDescent="0.25">
      <c r="C13" s="64" t="s">
        <v>81</v>
      </c>
      <c r="D13" s="57">
        <f>IF('Dimens. Travi Emergen.'!K4="45/55",45,0)</f>
        <v>0</v>
      </c>
      <c r="E13" s="68"/>
      <c r="K13">
        <v>18</v>
      </c>
      <c r="L13">
        <v>7</v>
      </c>
    </row>
    <row r="14" spans="1:18" ht="15.75" thickBot="1" x14ac:dyDescent="0.3">
      <c r="C14" s="65" t="s">
        <v>82</v>
      </c>
      <c r="D14" s="69">
        <f>IF('Dimens. Travi Emergen.'!K4="50/60",50,0)</f>
        <v>0</v>
      </c>
      <c r="E14" s="70"/>
      <c r="K14">
        <v>20</v>
      </c>
      <c r="L14">
        <v>8</v>
      </c>
    </row>
    <row r="15" spans="1:18" ht="15.75" thickBot="1" x14ac:dyDescent="0.3">
      <c r="C15" s="463" t="s">
        <v>215</v>
      </c>
      <c r="D15" s="463"/>
      <c r="E15" s="463"/>
      <c r="K15">
        <v>22</v>
      </c>
      <c r="L15">
        <v>9</v>
      </c>
    </row>
    <row r="16" spans="1:18" x14ac:dyDescent="0.25">
      <c r="C16" s="63" t="s">
        <v>74</v>
      </c>
      <c r="D16" s="66"/>
      <c r="E16" s="67"/>
      <c r="K16">
        <v>24</v>
      </c>
      <c r="L16">
        <v>10</v>
      </c>
    </row>
    <row r="17" spans="3:16" ht="30" x14ac:dyDescent="0.25">
      <c r="C17" s="64" t="s">
        <v>75</v>
      </c>
      <c r="D17" s="149">
        <f>IF('Dimens. Pilastro'!$F$15="16/20",16,0)</f>
        <v>0</v>
      </c>
      <c r="E17" s="68">
        <f>(D17+D18+D19+D20+D21+D22+D23+D24)</f>
        <v>25</v>
      </c>
      <c r="G17" s="150" t="s">
        <v>217</v>
      </c>
      <c r="H17" s="150" t="s">
        <v>218</v>
      </c>
      <c r="K17">
        <v>25</v>
      </c>
      <c r="L17">
        <v>11</v>
      </c>
      <c r="M17" t="s">
        <v>469</v>
      </c>
    </row>
    <row r="18" spans="3:16" x14ac:dyDescent="0.25">
      <c r="C18" s="64" t="s">
        <v>76</v>
      </c>
      <c r="D18" s="149">
        <f>IF('Dimens. Pilastro'!$F$15="20/25",20,0)</f>
        <v>0</v>
      </c>
      <c r="E18" s="68"/>
      <c r="G18">
        <f>22000*((E17+8)/10)^0.3</f>
        <v>31475.806210019346</v>
      </c>
      <c r="H18">
        <f>G18*1000</f>
        <v>31475806.210019346</v>
      </c>
      <c r="K18">
        <v>26</v>
      </c>
      <c r="L18">
        <v>12</v>
      </c>
      <c r="M18">
        <f>1/'Analisi dei Carichi Scala'!L10</f>
        <v>3.3333333333333335</v>
      </c>
      <c r="N18">
        <f>1/COS('Analisi dei Carichi Scala'!C7)</f>
        <v>1.1333333333333333</v>
      </c>
      <c r="O18">
        <f>N18/'Analisi dei Carichi Scala'!E7</f>
        <v>1.2844444444444445</v>
      </c>
      <c r="P18">
        <f>1/'Analisi dei Carichi Scala'!L7</f>
        <v>2.9411764705882351</v>
      </c>
    </row>
    <row r="19" spans="3:16" x14ac:dyDescent="0.25">
      <c r="C19" s="64" t="s">
        <v>77</v>
      </c>
      <c r="D19" s="149">
        <f>IF('Dimens. Pilastro'!$F$15="25/30",25,0)</f>
        <v>25</v>
      </c>
      <c r="E19" s="68"/>
      <c r="K19">
        <v>28</v>
      </c>
      <c r="L19">
        <v>13</v>
      </c>
    </row>
    <row r="20" spans="3:16" x14ac:dyDescent="0.25">
      <c r="C20" s="64" t="s">
        <v>78</v>
      </c>
      <c r="D20" s="149">
        <f>IF('Dimens. Pilastro'!$F$15="28/35",28,0)</f>
        <v>0</v>
      </c>
      <c r="E20" s="68"/>
      <c r="K20">
        <v>30</v>
      </c>
    </row>
    <row r="21" spans="3:16" x14ac:dyDescent="0.25">
      <c r="C21" s="64" t="s">
        <v>79</v>
      </c>
      <c r="D21" s="149">
        <f>IF('Dimens. Pilastro'!$F$15="35/45",35,0)</f>
        <v>0</v>
      </c>
      <c r="E21" s="68"/>
      <c r="K21">
        <v>32</v>
      </c>
    </row>
    <row r="22" spans="3:16" x14ac:dyDescent="0.25">
      <c r="C22" s="64" t="s">
        <v>80</v>
      </c>
      <c r="D22" s="149">
        <f>IF('Dimens. Pilastro'!$F$15="40/50",40,0)</f>
        <v>0</v>
      </c>
      <c r="E22" s="68"/>
    </row>
    <row r="23" spans="3:16" x14ac:dyDescent="0.25">
      <c r="C23" s="64" t="s">
        <v>81</v>
      </c>
      <c r="D23" s="149">
        <f>IF('Dimens. Pilastro'!$F$15="45/55",45,0)</f>
        <v>0</v>
      </c>
      <c r="E23" s="68"/>
    </row>
    <row r="24" spans="3:16" ht="15.75" thickBot="1" x14ac:dyDescent="0.3">
      <c r="C24" s="65" t="s">
        <v>82</v>
      </c>
      <c r="D24" s="69">
        <f>IF('Dimens. Pilastro'!$F$15="50/60",50,0)</f>
        <v>0</v>
      </c>
      <c r="E24" s="70"/>
    </row>
  </sheetData>
  <mergeCells count="3">
    <mergeCell ref="N1:P1"/>
    <mergeCell ref="C15:E15"/>
    <mergeCell ref="C5: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2"/>
  <sheetViews>
    <sheetView zoomScale="90" zoomScaleNormal="90" workbookViewId="0">
      <selection activeCell="G16" sqref="G16"/>
    </sheetView>
  </sheetViews>
  <sheetFormatPr defaultRowHeight="15" x14ac:dyDescent="0.25"/>
  <cols>
    <col min="1" max="1" width="8.140625" customWidth="1"/>
    <col min="2" max="2" width="7.42578125" bestFit="1" customWidth="1"/>
    <col min="4" max="4" width="9.28515625" customWidth="1"/>
    <col min="6" max="6" width="9.5703125" customWidth="1"/>
    <col min="7" max="7" width="9.42578125" customWidth="1"/>
    <col min="8" max="8" width="8" customWidth="1"/>
    <col min="9" max="9" width="8.5703125" customWidth="1"/>
    <col min="10" max="10" width="7.5703125" customWidth="1"/>
    <col min="11" max="11" width="10" customWidth="1"/>
    <col min="12" max="12" width="7.5703125" customWidth="1"/>
    <col min="13" max="13" width="9" customWidth="1"/>
    <col min="14" max="15" width="8.140625" bestFit="1" customWidth="1"/>
    <col min="16" max="16" width="8.28515625" customWidth="1"/>
    <col min="17" max="17" width="6" bestFit="1" customWidth="1"/>
    <col min="18" max="18" width="7.5703125" bestFit="1" customWidth="1"/>
    <col min="19" max="19" width="7.42578125" customWidth="1"/>
    <col min="20" max="21" width="7.5703125" customWidth="1"/>
    <col min="22" max="22" width="7.85546875" customWidth="1"/>
    <col min="24" max="24" width="7.42578125" customWidth="1"/>
  </cols>
  <sheetData>
    <row r="1" spans="1:34" ht="60" x14ac:dyDescent="0.25">
      <c r="A1" s="403" t="s">
        <v>156</v>
      </c>
      <c r="B1" s="403"/>
      <c r="C1" s="403"/>
      <c r="D1" s="410"/>
      <c r="E1" s="407" t="s">
        <v>177</v>
      </c>
      <c r="F1" s="409"/>
      <c r="G1" s="398" t="s">
        <v>293</v>
      </c>
      <c r="H1" s="400"/>
      <c r="I1" s="403" t="s">
        <v>146</v>
      </c>
      <c r="J1" s="403"/>
      <c r="K1" s="403"/>
      <c r="L1" s="403"/>
      <c r="M1" s="127" t="s">
        <v>297</v>
      </c>
      <c r="N1" s="407" t="s">
        <v>99</v>
      </c>
      <c r="O1" s="408"/>
      <c r="P1" s="409"/>
      <c r="Q1" s="207"/>
    </row>
    <row r="2" spans="1:34" ht="47.25" x14ac:dyDescent="0.25">
      <c r="A2" s="125" t="s">
        <v>102</v>
      </c>
      <c r="B2" s="127" t="s">
        <v>100</v>
      </c>
      <c r="C2" s="109" t="s">
        <v>277</v>
      </c>
      <c r="D2" s="126" t="s">
        <v>276</v>
      </c>
      <c r="E2" s="125" t="s">
        <v>102</v>
      </c>
      <c r="F2" s="127" t="s">
        <v>187</v>
      </c>
      <c r="G2" s="109" t="s">
        <v>277</v>
      </c>
      <c r="H2" s="186" t="s">
        <v>276</v>
      </c>
      <c r="I2" s="110" t="s">
        <v>455</v>
      </c>
      <c r="J2" s="226" t="s">
        <v>278</v>
      </c>
      <c r="K2" s="185" t="s">
        <v>284</v>
      </c>
      <c r="L2" s="110" t="s">
        <v>258</v>
      </c>
      <c r="M2" s="112" t="s">
        <v>274</v>
      </c>
      <c r="N2" s="189" t="s">
        <v>287</v>
      </c>
      <c r="O2" s="189" t="s">
        <v>456</v>
      </c>
      <c r="P2" s="112" t="s">
        <v>258</v>
      </c>
      <c r="Q2" s="72"/>
    </row>
    <row r="3" spans="1:34" x14ac:dyDescent="0.25">
      <c r="A3" s="129">
        <v>0.3</v>
      </c>
      <c r="B3" s="129">
        <v>0.6</v>
      </c>
      <c r="C3" s="129">
        <v>25</v>
      </c>
      <c r="D3" s="129">
        <f>A3*B3*C3</f>
        <v>4.5</v>
      </c>
      <c r="E3" s="129">
        <f>'Dimens. Travi Emergen.'!F4/100</f>
        <v>0.3</v>
      </c>
      <c r="F3" s="20">
        <f>'Analisi dei Carichi Trave Eme'!B3</f>
        <v>0.6</v>
      </c>
      <c r="G3" s="188">
        <v>25</v>
      </c>
      <c r="H3" s="188">
        <f>E3*F3*G3</f>
        <v>4.5</v>
      </c>
      <c r="I3" s="117">
        <f>'Analisi dei Carichi Torrino'!A20</f>
        <v>3.16</v>
      </c>
      <c r="J3" s="20">
        <f>E3*I3</f>
        <v>0.94799999999999995</v>
      </c>
      <c r="K3" s="20">
        <f>'Analisi dei Carichi Torrino'!J11</f>
        <v>0.97500000000000009</v>
      </c>
      <c r="L3" s="20">
        <f>'Analisi dei Carichi Trave Eme'!E7</f>
        <v>0.5</v>
      </c>
      <c r="M3" s="20">
        <f>H3-J3</f>
        <v>3.552</v>
      </c>
      <c r="N3" s="20">
        <f>'Analisi dei Carichi Torrino'!O12</f>
        <v>2.44</v>
      </c>
      <c r="O3" s="20">
        <f>'Analisi dei Carichi Torrino'!T12</f>
        <v>0.97500000000000009</v>
      </c>
      <c r="P3" s="20">
        <f>'Analisi dei Carichi Trave Eme'!J7</f>
        <v>0.5</v>
      </c>
      <c r="Q3" s="182"/>
    </row>
    <row r="5" spans="1:34" ht="15.75" x14ac:dyDescent="0.25">
      <c r="A5" s="404" t="s">
        <v>172</v>
      </c>
      <c r="B5" s="405"/>
      <c r="C5" s="405"/>
      <c r="D5" s="405"/>
      <c r="E5" s="405"/>
      <c r="F5" s="405"/>
      <c r="G5" s="405"/>
      <c r="H5" s="405"/>
      <c r="I5" s="405"/>
      <c r="J5" s="405"/>
      <c r="K5" s="405"/>
      <c r="L5" s="405"/>
      <c r="M5" s="405"/>
      <c r="N5" s="405"/>
      <c r="O5" s="405"/>
      <c r="P5" s="405"/>
      <c r="Q5" s="405"/>
      <c r="R5" s="405"/>
      <c r="S5" s="405"/>
      <c r="T5" s="405"/>
      <c r="U5" s="405"/>
      <c r="V5" s="405"/>
      <c r="W5" s="405"/>
      <c r="X5" s="406"/>
    </row>
    <row r="6" spans="1:34" x14ac:dyDescent="0.25">
      <c r="A6" s="403"/>
      <c r="B6" s="403"/>
      <c r="C6" s="403"/>
      <c r="D6" s="403"/>
      <c r="E6" s="403"/>
      <c r="F6" s="403"/>
      <c r="G6" s="403"/>
      <c r="H6" s="398" t="s">
        <v>168</v>
      </c>
      <c r="I6" s="399"/>
      <c r="J6" s="399"/>
      <c r="K6" s="399"/>
      <c r="L6" s="399"/>
      <c r="M6" s="399"/>
      <c r="N6" s="399"/>
      <c r="O6" s="399"/>
      <c r="P6" s="399"/>
      <c r="Q6" s="399"/>
      <c r="R6" s="399"/>
      <c r="S6" s="399"/>
      <c r="T6" s="399"/>
      <c r="U6" s="399"/>
      <c r="V6" s="399"/>
      <c r="W6" s="399"/>
      <c r="X6" s="400"/>
      <c r="Y6" s="398" t="s">
        <v>169</v>
      </c>
      <c r="Z6" s="399"/>
      <c r="AA6" s="399"/>
      <c r="AB6" s="399"/>
      <c r="AC6" s="399"/>
      <c r="AD6" s="399"/>
      <c r="AE6" s="399"/>
      <c r="AF6" s="399"/>
      <c r="AG6" s="399"/>
      <c r="AH6" s="400"/>
    </row>
    <row r="7" spans="1:34" ht="60" x14ac:dyDescent="0.25">
      <c r="A7" s="192" t="s">
        <v>157</v>
      </c>
      <c r="B7" s="194" t="s">
        <v>158</v>
      </c>
      <c r="C7" s="194" t="s">
        <v>167</v>
      </c>
      <c r="D7" s="194" t="s">
        <v>167</v>
      </c>
      <c r="E7" s="194" t="s">
        <v>167</v>
      </c>
      <c r="F7" s="194" t="s">
        <v>166</v>
      </c>
      <c r="G7" s="194" t="s">
        <v>166</v>
      </c>
      <c r="H7" s="194" t="s">
        <v>273</v>
      </c>
      <c r="I7" s="194" t="s">
        <v>272</v>
      </c>
      <c r="J7" s="194" t="s">
        <v>271</v>
      </c>
      <c r="K7" s="194" t="s">
        <v>269</v>
      </c>
      <c r="L7" s="138" t="s">
        <v>56</v>
      </c>
      <c r="M7" s="194" t="s">
        <v>270</v>
      </c>
      <c r="N7" s="194" t="s">
        <v>268</v>
      </c>
      <c r="O7" s="138" t="s">
        <v>57</v>
      </c>
      <c r="P7" s="194" t="s">
        <v>267</v>
      </c>
      <c r="Q7" s="138" t="s">
        <v>58</v>
      </c>
      <c r="R7" s="194" t="s">
        <v>298</v>
      </c>
      <c r="S7" s="138" t="s">
        <v>142</v>
      </c>
      <c r="T7" s="139" t="s">
        <v>137</v>
      </c>
      <c r="U7" s="194" t="s">
        <v>244</v>
      </c>
      <c r="V7" s="194" t="s">
        <v>243</v>
      </c>
      <c r="W7" s="194" t="s">
        <v>279</v>
      </c>
      <c r="X7" s="133" t="s">
        <v>280</v>
      </c>
      <c r="Y7" s="134" t="s">
        <v>281</v>
      </c>
      <c r="Z7" s="111" t="s">
        <v>282</v>
      </c>
      <c r="AA7" s="135" t="s">
        <v>63</v>
      </c>
      <c r="AB7" s="194" t="s">
        <v>267</v>
      </c>
      <c r="AC7" s="196" t="s">
        <v>139</v>
      </c>
      <c r="AD7" s="241" t="s">
        <v>298</v>
      </c>
      <c r="AE7" s="241" t="s">
        <v>244</v>
      </c>
      <c r="AF7" s="241" t="s">
        <v>243</v>
      </c>
      <c r="AG7" s="241" t="s">
        <v>279</v>
      </c>
      <c r="AH7" s="133" t="s">
        <v>280</v>
      </c>
    </row>
    <row r="8" spans="1:34" x14ac:dyDescent="0.25">
      <c r="A8" s="199">
        <v>10</v>
      </c>
      <c r="B8" s="22">
        <v>2.7</v>
      </c>
      <c r="C8" s="199">
        <v>2.65</v>
      </c>
      <c r="D8" s="199">
        <v>2.8250000000000002</v>
      </c>
      <c r="E8" s="240">
        <f>'Analisi dei Carichi Torrino'!S3-E3/2</f>
        <v>0.5</v>
      </c>
      <c r="F8" s="22">
        <f>C8*D8</f>
        <v>7.4862500000000001</v>
      </c>
      <c r="G8" s="22">
        <f>D8*E8</f>
        <v>1.4125000000000001</v>
      </c>
      <c r="H8" s="22">
        <f>$D$3*B8</f>
        <v>12.15</v>
      </c>
      <c r="I8" s="22">
        <f>M3*(D8+C8)</f>
        <v>19.447199999999999</v>
      </c>
      <c r="J8" s="22">
        <f>$I$3*F8</f>
        <v>23.656550000000003</v>
      </c>
      <c r="K8" s="22">
        <f>N3*G8</f>
        <v>3.4465000000000003</v>
      </c>
      <c r="L8" s="199">
        <v>1.3</v>
      </c>
      <c r="M8" s="22">
        <f>K3*(F8)</f>
        <v>7.2990937500000008</v>
      </c>
      <c r="N8" s="22">
        <f>G8*O3</f>
        <v>1.3771875000000002</v>
      </c>
      <c r="O8" s="22">
        <v>1.5</v>
      </c>
      <c r="P8" s="22">
        <f>L3*F8</f>
        <v>3.743125</v>
      </c>
      <c r="Q8" s="22">
        <v>1.5</v>
      </c>
      <c r="R8" s="20">
        <f>P3*G8</f>
        <v>0.70625000000000004</v>
      </c>
      <c r="S8" s="20">
        <v>1.5</v>
      </c>
      <c r="T8" s="20">
        <v>1</v>
      </c>
      <c r="U8" s="22">
        <f>(H8+I8+J8+K8)*L8</f>
        <v>76.310325000000006</v>
      </c>
      <c r="V8" s="22">
        <f>(M8+N8)*O8</f>
        <v>13.014421875</v>
      </c>
      <c r="W8" s="22">
        <f>P8*Q8+R8*S8*T8</f>
        <v>6.6740625000000007</v>
      </c>
      <c r="X8" s="22">
        <f>W8+U8+V8</f>
        <v>95.998809375000008</v>
      </c>
      <c r="Y8" s="20">
        <f>H8+I8+J8+K8</f>
        <v>58.700250000000004</v>
      </c>
      <c r="Z8" s="20">
        <f>M8+N8</f>
        <v>8.6762812500000006</v>
      </c>
      <c r="AA8" s="20">
        <v>0.3</v>
      </c>
      <c r="AB8" s="20">
        <f>P8</f>
        <v>3.743125</v>
      </c>
      <c r="AC8" s="20">
        <v>0.3</v>
      </c>
      <c r="AD8" s="20">
        <f>R8</f>
        <v>0.70625000000000004</v>
      </c>
      <c r="AE8" s="20">
        <f>Y8</f>
        <v>58.700250000000004</v>
      </c>
      <c r="AF8" s="20">
        <f>Z8</f>
        <v>8.6762812500000006</v>
      </c>
      <c r="AG8" s="20">
        <f>AB8*AA8+AD8*AC8</f>
        <v>1.3348125</v>
      </c>
      <c r="AH8" s="20">
        <f>AE8+AF8+AG8</f>
        <v>68.711343749999997</v>
      </c>
    </row>
    <row r="17" spans="1:19" x14ac:dyDescent="0.25">
      <c r="A17" s="128"/>
      <c r="B17" s="128"/>
      <c r="C17" s="128"/>
      <c r="D17" s="128"/>
      <c r="E17" s="12"/>
      <c r="F17" s="12"/>
      <c r="G17" s="12"/>
      <c r="H17" s="12"/>
      <c r="I17" s="128"/>
      <c r="J17" s="12"/>
      <c r="K17" s="128"/>
      <c r="L17" s="131"/>
      <c r="M17" s="128"/>
      <c r="N17" s="12"/>
      <c r="O17" s="128"/>
      <c r="P17" s="131"/>
      <c r="Q17" s="131"/>
      <c r="R17" s="131"/>
      <c r="S17" s="12"/>
    </row>
    <row r="18" spans="1:19" x14ac:dyDescent="0.25">
      <c r="A18" s="128"/>
      <c r="B18" s="128"/>
      <c r="C18" s="128"/>
      <c r="D18" s="128"/>
      <c r="E18" s="128"/>
      <c r="F18" s="12"/>
      <c r="G18" s="12"/>
      <c r="H18" s="12"/>
      <c r="I18" s="128"/>
      <c r="J18" s="128"/>
      <c r="K18" s="128"/>
      <c r="L18" s="128"/>
      <c r="M18" s="128"/>
      <c r="N18" s="128"/>
      <c r="O18" s="12"/>
      <c r="P18" s="12"/>
      <c r="Q18" s="128"/>
      <c r="R18" s="128"/>
      <c r="S18" s="128"/>
    </row>
    <row r="19" spans="1:19" x14ac:dyDescent="0.25">
      <c r="A19" s="128"/>
      <c r="B19" s="128"/>
      <c r="F19" s="12"/>
      <c r="G19" s="12"/>
      <c r="H19" s="12"/>
      <c r="I19" s="12"/>
      <c r="J19" s="128"/>
      <c r="K19" s="12"/>
      <c r="O19" s="12"/>
    </row>
    <row r="20" spans="1:19" x14ac:dyDescent="0.25">
      <c r="M20" s="236"/>
      <c r="N20" s="236"/>
      <c r="O20" s="236"/>
      <c r="P20" s="236"/>
      <c r="Q20" s="236"/>
      <c r="R20" s="236"/>
      <c r="S20" s="236"/>
    </row>
    <row r="21" spans="1:19" x14ac:dyDescent="0.25">
      <c r="N21" s="54"/>
      <c r="P21" s="54"/>
      <c r="Q21" s="58"/>
      <c r="R21" s="54"/>
      <c r="S21" s="56"/>
    </row>
    <row r="22" spans="1:19" x14ac:dyDescent="0.25">
      <c r="A22" s="128"/>
      <c r="N22" s="12"/>
      <c r="O22" s="128"/>
      <c r="P22" s="12"/>
      <c r="Q22" s="86"/>
      <c r="R22" s="128"/>
      <c r="S22" s="12"/>
    </row>
  </sheetData>
  <mergeCells count="9">
    <mergeCell ref="A6:G6"/>
    <mergeCell ref="H6:X6"/>
    <mergeCell ref="A5:X5"/>
    <mergeCell ref="Y6:AH6"/>
    <mergeCell ref="I1:L1"/>
    <mergeCell ref="N1:P1"/>
    <mergeCell ref="A1:D1"/>
    <mergeCell ref="E1:F1"/>
    <mergeCell ref="G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90" zoomScaleNormal="90" workbookViewId="0">
      <selection activeCell="L11" sqref="L11"/>
    </sheetView>
  </sheetViews>
  <sheetFormatPr defaultRowHeight="15" x14ac:dyDescent="0.25"/>
  <cols>
    <col min="1" max="1" width="18.140625" bestFit="1" customWidth="1"/>
    <col min="9" max="9" width="13.7109375" customWidth="1"/>
  </cols>
  <sheetData>
    <row r="1" spans="1:9" ht="15.75" x14ac:dyDescent="0.25">
      <c r="A1" s="411"/>
      <c r="B1" s="411"/>
      <c r="C1" s="411"/>
      <c r="D1" s="411"/>
      <c r="E1" s="411"/>
      <c r="F1" s="411"/>
      <c r="G1" s="411"/>
      <c r="H1" s="234" t="s">
        <v>240</v>
      </c>
      <c r="I1" s="234" t="s">
        <v>241</v>
      </c>
    </row>
    <row r="2" spans="1:9" ht="35.25" x14ac:dyDescent="0.25">
      <c r="A2" s="84"/>
      <c r="B2" s="193" t="s">
        <v>256</v>
      </c>
      <c r="C2" s="194" t="s">
        <v>257</v>
      </c>
      <c r="D2" s="194" t="s">
        <v>258</v>
      </c>
      <c r="E2" s="194" t="s">
        <v>259</v>
      </c>
      <c r="F2" s="194" t="s">
        <v>260</v>
      </c>
      <c r="G2" s="194" t="s">
        <v>261</v>
      </c>
      <c r="H2" s="351" t="s">
        <v>236</v>
      </c>
      <c r="I2" s="351" t="s">
        <v>237</v>
      </c>
    </row>
    <row r="3" spans="1:9" x14ac:dyDescent="0.25">
      <c r="A3" s="188" t="s">
        <v>109</v>
      </c>
      <c r="B3" s="11">
        <f>'Analisi dei Carichi Torrino'!E12</f>
        <v>3.16</v>
      </c>
      <c r="C3" s="11">
        <f>'Analisi dei Carichi Torrino'!J11</f>
        <v>0.97500000000000009</v>
      </c>
      <c r="D3" s="225">
        <f>'Analisi dei Carichi Torrino'!E20</f>
        <v>0.5</v>
      </c>
      <c r="E3" s="225">
        <f>'Analisi dei Carichi Torrino'!A23</f>
        <v>4.1080000000000005</v>
      </c>
      <c r="F3" s="225">
        <f>'Analisi dei Carichi Torrino'!B23</f>
        <v>1.4625000000000001</v>
      </c>
      <c r="G3" s="225">
        <f>'Analisi dei Carichi Torrino'!C23</f>
        <v>0.75</v>
      </c>
      <c r="H3" s="225">
        <f>'Analisi dei Carichi Torrino'!F23</f>
        <v>6.3205000000000009</v>
      </c>
      <c r="I3" s="225">
        <f>'Analisi dei Carichi Torrino'!F30</f>
        <v>4.2850000000000001</v>
      </c>
    </row>
    <row r="4" spans="1:9" x14ac:dyDescent="0.25">
      <c r="A4" s="188" t="s">
        <v>112</v>
      </c>
      <c r="B4" s="11">
        <f>'Analisi dei Carichi Torrino'!O12</f>
        <v>2.44</v>
      </c>
      <c r="C4" s="11">
        <f>'Analisi dei Carichi Torrino'!T12</f>
        <v>0.97500000000000009</v>
      </c>
      <c r="D4" s="225">
        <f>'Analisi dei Carichi Torrino'!P20</f>
        <v>0.5</v>
      </c>
      <c r="E4" s="225">
        <f>'Analisi dei Carichi Torrino'!L23</f>
        <v>3.1720000000000002</v>
      </c>
      <c r="F4" s="225">
        <f>'Analisi dei Carichi Torrino'!M23</f>
        <v>1.4625000000000001</v>
      </c>
      <c r="G4" s="225">
        <f>'Analisi dei Carichi Torrino'!N23</f>
        <v>0.75</v>
      </c>
      <c r="H4" s="225">
        <f>'Analisi dei Carichi Torrino'!Q23</f>
        <v>5.3845000000000001</v>
      </c>
      <c r="I4" s="225">
        <f>'Analisi dei Carichi Torrino'!Q30</f>
        <v>4.2850000000000001</v>
      </c>
    </row>
    <row r="5" spans="1:9" ht="33" x14ac:dyDescent="0.25">
      <c r="A5" s="84"/>
      <c r="B5" s="193" t="s">
        <v>248</v>
      </c>
      <c r="C5" s="194" t="s">
        <v>254</v>
      </c>
      <c r="D5" s="194" t="s">
        <v>250</v>
      </c>
      <c r="E5" s="194" t="s">
        <v>251</v>
      </c>
      <c r="F5" s="194" t="s">
        <v>252</v>
      </c>
      <c r="G5" s="194" t="s">
        <v>255</v>
      </c>
      <c r="H5" s="351" t="s">
        <v>238</v>
      </c>
      <c r="I5" s="351" t="s">
        <v>239</v>
      </c>
    </row>
    <row r="6" spans="1:9" x14ac:dyDescent="0.25">
      <c r="A6" s="188" t="s">
        <v>428</v>
      </c>
      <c r="B6" s="225">
        <f>'Analisi dei Carichi Trave Eme'!D3</f>
        <v>4.5</v>
      </c>
      <c r="C6" s="11"/>
      <c r="D6" s="11"/>
      <c r="E6" s="225">
        <f>'Analisi dei Carichi Trave Eme'!F7*'Analisi dei Carichi Trave Eme'!C12</f>
        <v>4.6176000000000004</v>
      </c>
      <c r="F6" s="84"/>
      <c r="G6" s="84"/>
      <c r="H6" s="225">
        <f>E6</f>
        <v>4.6176000000000004</v>
      </c>
      <c r="I6" s="225">
        <f>B6</f>
        <v>4.5</v>
      </c>
    </row>
    <row r="7" spans="1:9" x14ac:dyDescent="0.25">
      <c r="A7" s="188" t="s">
        <v>429</v>
      </c>
      <c r="B7" s="11"/>
      <c r="C7" s="11"/>
      <c r="D7" s="11"/>
      <c r="E7" s="11"/>
      <c r="F7" s="84"/>
      <c r="G7" s="84"/>
      <c r="H7" s="11"/>
      <c r="I7" s="11"/>
    </row>
    <row r="8" spans="1:9" x14ac:dyDescent="0.25">
      <c r="A8" s="188" t="s">
        <v>157</v>
      </c>
      <c r="B8" s="225">
        <f>'Analisi dei Carichi Pilast'!D3</f>
        <v>4.5</v>
      </c>
      <c r="C8" s="11"/>
      <c r="D8" s="11"/>
      <c r="E8" s="225">
        <f>'Analisi dei Carichi Pilast'!D3*'Analisi dei Carichi Pilast'!L8</f>
        <v>5.8500000000000005</v>
      </c>
      <c r="F8" s="84"/>
      <c r="G8" s="84"/>
      <c r="H8" s="225">
        <f>E8</f>
        <v>5.8500000000000005</v>
      </c>
      <c r="I8" s="225">
        <f>B8</f>
        <v>4.5</v>
      </c>
    </row>
    <row r="9" spans="1:9" x14ac:dyDescent="0.25">
      <c r="A9" s="187"/>
      <c r="B9" s="227"/>
      <c r="C9" s="166"/>
      <c r="D9" s="166"/>
      <c r="E9" s="227"/>
      <c r="H9" s="227"/>
      <c r="I9" s="227"/>
    </row>
    <row r="10" spans="1:9" ht="15.75" x14ac:dyDescent="0.25">
      <c r="A10" s="404" t="s">
        <v>48</v>
      </c>
      <c r="B10" s="405"/>
      <c r="C10" s="405"/>
      <c r="D10" s="405"/>
      <c r="E10" s="405"/>
      <c r="F10" s="405"/>
      <c r="G10" s="405"/>
      <c r="H10" s="405"/>
      <c r="I10" s="406"/>
    </row>
    <row r="11" spans="1:9" ht="33" x14ac:dyDescent="0.25">
      <c r="A11" s="192" t="s">
        <v>265</v>
      </c>
      <c r="B11" s="146" t="s">
        <v>248</v>
      </c>
      <c r="C11" s="147" t="s">
        <v>249</v>
      </c>
      <c r="D11" s="147" t="s">
        <v>250</v>
      </c>
      <c r="E11" s="147" t="s">
        <v>251</v>
      </c>
      <c r="F11" s="147" t="s">
        <v>252</v>
      </c>
      <c r="G11" s="147" t="s">
        <v>253</v>
      </c>
      <c r="H11" s="351" t="s">
        <v>238</v>
      </c>
      <c r="I11" s="351" t="s">
        <v>239</v>
      </c>
    </row>
    <row r="12" spans="1:9" x14ac:dyDescent="0.25">
      <c r="A12" s="235" t="s">
        <v>266</v>
      </c>
      <c r="B12" s="20">
        <f>'Analisi dei Carichi Trave Eme'!B12</f>
        <v>13.146000000000001</v>
      </c>
      <c r="C12" s="20">
        <f>'Analisi dei Carichi Trave Eme'!D12</f>
        <v>3.07125</v>
      </c>
      <c r="D12" s="20">
        <f>'Analisi dei Carichi Trave Eme'!F12</f>
        <v>1.325</v>
      </c>
      <c r="E12" s="20">
        <f>'Analisi dei Carichi Trave Eme'!K12</f>
        <v>17.0898</v>
      </c>
      <c r="F12" s="20">
        <f>'Analisi dei Carichi Trave Eme'!L12</f>
        <v>4.6068750000000005</v>
      </c>
      <c r="G12" s="20">
        <f>'Analisi dei Carichi Trave Eme'!M12</f>
        <v>2.3624999999999998</v>
      </c>
      <c r="H12" s="20">
        <f>E12+F12+G12</f>
        <v>24.059175</v>
      </c>
      <c r="I12" s="20">
        <f>'Analisi dei Carichi Trave Eme'!K17</f>
        <v>16.68975</v>
      </c>
    </row>
    <row r="14" spans="1:9" ht="15.75" x14ac:dyDescent="0.25">
      <c r="A14" s="404" t="s">
        <v>170</v>
      </c>
      <c r="B14" s="405"/>
      <c r="C14" s="405"/>
      <c r="D14" s="405"/>
      <c r="E14" s="405"/>
      <c r="F14" s="405"/>
      <c r="G14" s="405"/>
      <c r="H14" s="405"/>
      <c r="I14" s="406"/>
    </row>
    <row r="15" spans="1:9" ht="33" x14ac:dyDescent="0.25">
      <c r="A15" s="145" t="s">
        <v>157</v>
      </c>
      <c r="B15" s="193" t="s">
        <v>247</v>
      </c>
      <c r="C15" s="194" t="s">
        <v>246</v>
      </c>
      <c r="D15" s="194" t="s">
        <v>245</v>
      </c>
      <c r="E15" s="194" t="s">
        <v>244</v>
      </c>
      <c r="F15" s="194" t="s">
        <v>243</v>
      </c>
      <c r="G15" s="194" t="s">
        <v>262</v>
      </c>
      <c r="H15" s="351" t="s">
        <v>263</v>
      </c>
      <c r="I15" s="351" t="s">
        <v>478</v>
      </c>
    </row>
    <row r="16" spans="1:9" x14ac:dyDescent="0.25">
      <c r="A16" s="148">
        <f>'Analisi dei Carichi Pilast'!A8</f>
        <v>10</v>
      </c>
      <c r="B16" s="115">
        <f>'Analisi dei Carichi Pilast'!H8+'Analisi dei Carichi Pilast'!I8+'Analisi dei Carichi Pilast'!J8+'Analisi dei Carichi Pilast'!K8</f>
        <v>58.700250000000004</v>
      </c>
      <c r="C16" s="116">
        <f>'Analisi dei Carichi Pilast'!M8+'Analisi dei Carichi Pilast'!N8</f>
        <v>8.6762812500000006</v>
      </c>
      <c r="D16" s="116">
        <f>'Analisi dei Carichi Pilast'!P8</f>
        <v>3.743125</v>
      </c>
      <c r="E16" s="116">
        <f>'Analisi dei Carichi Pilast'!U8</f>
        <v>76.310325000000006</v>
      </c>
      <c r="F16" s="116">
        <f>'Analisi dei Carichi Pilast'!V8</f>
        <v>13.014421875</v>
      </c>
      <c r="G16" s="116">
        <f>'Analisi dei Carichi Pilast'!W8</f>
        <v>6.6740625000000007</v>
      </c>
      <c r="H16" s="116">
        <f>'Analisi dei Carichi Pilast'!X8</f>
        <v>95.998809375000008</v>
      </c>
      <c r="I16" s="20">
        <f>'Analisi dei Carichi Pilast'!AH8</f>
        <v>68.711343749999997</v>
      </c>
    </row>
    <row r="32" spans="10:10" x14ac:dyDescent="0.25">
      <c r="J32" s="166"/>
    </row>
    <row r="35" spans="10:11" x14ac:dyDescent="0.25">
      <c r="K35" s="166"/>
    </row>
    <row r="36" spans="10:11" x14ac:dyDescent="0.25">
      <c r="K36" s="166"/>
    </row>
    <row r="37" spans="10:11" x14ac:dyDescent="0.25">
      <c r="K37" s="166"/>
    </row>
    <row r="38" spans="10:11" x14ac:dyDescent="0.25">
      <c r="J38" s="166"/>
      <c r="K38" s="166"/>
    </row>
    <row r="39" spans="10:11" x14ac:dyDescent="0.25">
      <c r="J39" s="166"/>
      <c r="K39" s="166"/>
    </row>
  </sheetData>
  <mergeCells count="3">
    <mergeCell ref="A1:G1"/>
    <mergeCell ref="A10:I10"/>
    <mergeCell ref="A14:I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9"/>
  <sheetViews>
    <sheetView zoomScale="90" zoomScaleNormal="90" workbookViewId="0">
      <selection activeCell="G16" sqref="G16"/>
    </sheetView>
  </sheetViews>
  <sheetFormatPr defaultRowHeight="15" x14ac:dyDescent="0.25"/>
  <cols>
    <col min="1" max="2" width="9" bestFit="1" customWidth="1"/>
    <col min="3" max="3" width="7.5703125" bestFit="1" customWidth="1"/>
    <col min="4" max="4" width="9" bestFit="1" customWidth="1"/>
    <col min="5" max="5" width="11.140625" customWidth="1"/>
    <col min="6" max="6" width="12.85546875" customWidth="1"/>
    <col min="7" max="7" width="9" bestFit="1" customWidth="1"/>
    <col min="8" max="8" width="8.85546875" customWidth="1"/>
    <col min="9" max="9" width="9" bestFit="1" customWidth="1"/>
    <col min="10" max="10" width="7.7109375" bestFit="1" customWidth="1"/>
    <col min="11" max="11" width="9" bestFit="1" customWidth="1"/>
    <col min="12" max="12" width="11.140625" customWidth="1"/>
    <col min="15" max="15" width="7.5703125" bestFit="1" customWidth="1"/>
    <col min="16" max="16" width="10.5703125" bestFit="1" customWidth="1"/>
    <col min="17" max="17" width="13.85546875" bestFit="1" customWidth="1"/>
    <col min="19" max="19" width="8.5703125" bestFit="1" customWidth="1"/>
    <col min="20" max="20" width="7.5703125" bestFit="1" customWidth="1"/>
    <col min="21" max="21" width="9" bestFit="1" customWidth="1"/>
  </cols>
  <sheetData>
    <row r="1" spans="1:22" ht="30" customHeight="1" x14ac:dyDescent="0.25">
      <c r="A1" s="389" t="s">
        <v>93</v>
      </c>
      <c r="B1" s="390"/>
      <c r="C1" s="390"/>
      <c r="D1" s="390"/>
      <c r="E1" s="390"/>
      <c r="F1" s="391" t="s">
        <v>94</v>
      </c>
      <c r="G1" s="391"/>
      <c r="H1" s="391" t="s">
        <v>95</v>
      </c>
      <c r="I1" s="391"/>
      <c r="J1" s="392" t="s">
        <v>96</v>
      </c>
      <c r="K1" s="393"/>
      <c r="L1" s="393"/>
      <c r="M1" s="385" t="s">
        <v>97</v>
      </c>
      <c r="N1" s="385"/>
      <c r="O1" s="386" t="s">
        <v>98</v>
      </c>
      <c r="P1" s="387"/>
      <c r="Q1" s="387"/>
      <c r="R1" s="388"/>
      <c r="S1" s="375" t="s">
        <v>99</v>
      </c>
      <c r="T1" s="376"/>
      <c r="U1" s="376"/>
      <c r="V1" s="376"/>
    </row>
    <row r="2" spans="1:22" ht="54.75" customHeight="1" x14ac:dyDescent="0.25">
      <c r="A2" s="75" t="s">
        <v>100</v>
      </c>
      <c r="B2" s="76" t="s">
        <v>101</v>
      </c>
      <c r="C2" s="75" t="s">
        <v>102</v>
      </c>
      <c r="D2" s="76" t="s">
        <v>101</v>
      </c>
      <c r="E2" s="75" t="s">
        <v>103</v>
      </c>
      <c r="F2" s="75" t="s">
        <v>104</v>
      </c>
      <c r="G2" s="76" t="s">
        <v>101</v>
      </c>
      <c r="H2" s="75" t="s">
        <v>104</v>
      </c>
      <c r="I2" s="76" t="s">
        <v>101</v>
      </c>
      <c r="J2" s="75" t="s">
        <v>105</v>
      </c>
      <c r="K2" s="76" t="s">
        <v>101</v>
      </c>
      <c r="L2" s="75" t="s">
        <v>106</v>
      </c>
      <c r="M2" s="75" t="s">
        <v>107</v>
      </c>
      <c r="N2" s="76" t="s">
        <v>101</v>
      </c>
      <c r="O2" s="75" t="s">
        <v>108</v>
      </c>
      <c r="P2" s="80" t="s">
        <v>109</v>
      </c>
      <c r="Q2" s="76" t="s">
        <v>101</v>
      </c>
      <c r="R2" s="75" t="s">
        <v>140</v>
      </c>
      <c r="S2" s="75" t="s">
        <v>110</v>
      </c>
      <c r="T2" s="75" t="s">
        <v>111</v>
      </c>
      <c r="U2" s="75" t="s">
        <v>101</v>
      </c>
      <c r="V2" s="75" t="s">
        <v>112</v>
      </c>
    </row>
    <row r="3" spans="1:22" ht="30" x14ac:dyDescent="0.25">
      <c r="A3" s="76">
        <v>0.2</v>
      </c>
      <c r="B3" s="81" t="str">
        <f>IF(A3&gt;=0.12,"VERIFICA","NON VERIFICA")</f>
        <v>VERIFICA</v>
      </c>
      <c r="C3" s="76">
        <v>0.25</v>
      </c>
      <c r="D3" s="81" t="str">
        <f>IF(C3&gt;0.52,"NON VERIFICA","VERIFICA")</f>
        <v>VERIFICA</v>
      </c>
      <c r="E3" s="76">
        <v>3</v>
      </c>
      <c r="F3" s="76">
        <v>0.04</v>
      </c>
      <c r="G3" s="81" t="str">
        <f>IF(F3&gt;=0.04,"VERIFICA","NON VERIFICA")</f>
        <v>VERIFICA</v>
      </c>
      <c r="H3" s="76">
        <v>0.04</v>
      </c>
      <c r="I3" s="81" t="str">
        <f>IF(H3&gt;=0.04,"VERIFICA","NON VERIFICA")</f>
        <v>VERIFICA</v>
      </c>
      <c r="J3" s="76">
        <v>0.08</v>
      </c>
      <c r="K3" s="81" t="str">
        <f>IF(AND(J3&gt;=0.08,J3&gt;=M3/8),"VERIFICA","NON VERIFICA")</f>
        <v>VERIFICA</v>
      </c>
      <c r="L3" s="82">
        <v>3</v>
      </c>
      <c r="M3" s="76">
        <f>J3+C3</f>
        <v>0.33</v>
      </c>
      <c r="N3" s="81" t="str">
        <f>IF(M3&lt;=15*F3,"VERIFICA","NON VERIFICA")</f>
        <v>VERIFICA</v>
      </c>
      <c r="O3" s="76">
        <f>F3+A3</f>
        <v>0.24000000000000002</v>
      </c>
      <c r="P3" s="25" t="s">
        <v>113</v>
      </c>
      <c r="Q3" s="81" t="str">
        <f>IF(AND(P3="con travi emergenti",O3&gt;=R3/25),"VERIFICA",IF(AND(P3="con travi a spessore",O3&gt;=R3/20),"VERIFICA","NON VERIFICA"))</f>
        <v>VERIFICA</v>
      </c>
      <c r="R3" s="76">
        <v>5.95</v>
      </c>
      <c r="S3" s="76">
        <v>1.75</v>
      </c>
      <c r="T3" s="76">
        <f>A3+H3</f>
        <v>0.24000000000000002</v>
      </c>
      <c r="U3" s="81" t="str">
        <f>IF(AND(V3="Ringhiera",T3&gt;=S3/8),"VERIFICA",IF(AND(V3="Muretto",T3&gt;=S3/6),"VERIFICA","NON VERIFICA"))</f>
        <v>VERIFICA</v>
      </c>
      <c r="V3" s="76" t="s">
        <v>114</v>
      </c>
    </row>
    <row r="5" spans="1:22" x14ac:dyDescent="0.25">
      <c r="A5" s="373" t="s">
        <v>115</v>
      </c>
      <c r="B5" s="373"/>
      <c r="C5" s="373"/>
      <c r="D5" s="373"/>
      <c r="E5" s="374"/>
      <c r="F5" s="373" t="s">
        <v>116</v>
      </c>
      <c r="G5" s="373"/>
      <c r="H5" s="373"/>
      <c r="I5" s="373"/>
      <c r="J5" s="373"/>
      <c r="K5" s="373" t="s">
        <v>117</v>
      </c>
      <c r="L5" s="373"/>
      <c r="M5" s="373"/>
      <c r="N5" s="373"/>
      <c r="O5" s="374"/>
      <c r="P5" s="373" t="s">
        <v>118</v>
      </c>
      <c r="Q5" s="373"/>
      <c r="R5" s="373"/>
      <c r="S5" s="373"/>
      <c r="T5" s="373"/>
    </row>
    <row r="6" spans="1:22" ht="47.25" x14ac:dyDescent="0.25">
      <c r="A6" s="76" t="s">
        <v>119</v>
      </c>
      <c r="B6" s="75" t="s">
        <v>120</v>
      </c>
      <c r="C6" s="75" t="s">
        <v>121</v>
      </c>
      <c r="D6" s="83" t="s">
        <v>277</v>
      </c>
      <c r="E6" s="193" t="s">
        <v>291</v>
      </c>
      <c r="F6" s="76" t="s">
        <v>119</v>
      </c>
      <c r="G6" s="75" t="s">
        <v>122</v>
      </c>
      <c r="H6" s="75" t="s">
        <v>121</v>
      </c>
      <c r="I6" s="83" t="s">
        <v>277</v>
      </c>
      <c r="J6" s="193" t="s">
        <v>291</v>
      </c>
      <c r="K6" s="76" t="s">
        <v>119</v>
      </c>
      <c r="L6" s="75" t="s">
        <v>120</v>
      </c>
      <c r="M6" s="75" t="s">
        <v>121</v>
      </c>
      <c r="N6" s="83" t="s">
        <v>277</v>
      </c>
      <c r="O6" s="193" t="s">
        <v>291</v>
      </c>
      <c r="P6" s="76" t="s">
        <v>119</v>
      </c>
      <c r="Q6" s="75" t="s">
        <v>123</v>
      </c>
      <c r="R6" s="75" t="s">
        <v>121</v>
      </c>
      <c r="S6" s="83" t="s">
        <v>277</v>
      </c>
      <c r="T6" s="200" t="s">
        <v>291</v>
      </c>
    </row>
    <row r="7" spans="1:22" x14ac:dyDescent="0.25">
      <c r="A7" s="76" t="s">
        <v>124</v>
      </c>
      <c r="B7" s="76">
        <f>F3</f>
        <v>0.04</v>
      </c>
      <c r="C7" s="76">
        <v>1</v>
      </c>
      <c r="D7" s="76">
        <v>25</v>
      </c>
      <c r="E7" s="77">
        <f>D7*C7*B7</f>
        <v>1</v>
      </c>
      <c r="F7" s="76" t="s">
        <v>125</v>
      </c>
      <c r="G7" s="76">
        <v>0.04</v>
      </c>
      <c r="H7" s="76">
        <v>1</v>
      </c>
      <c r="I7" s="76">
        <v>5</v>
      </c>
      <c r="J7" s="76">
        <f t="shared" ref="J7:J11" si="0">I7*H7*G7</f>
        <v>0.2</v>
      </c>
      <c r="K7" s="76" t="s">
        <v>124</v>
      </c>
      <c r="L7" s="76">
        <f>H3</f>
        <v>0.04</v>
      </c>
      <c r="M7" s="76">
        <v>1</v>
      </c>
      <c r="N7" s="76">
        <v>25</v>
      </c>
      <c r="O7" s="77">
        <f>N7*M7*L7</f>
        <v>1</v>
      </c>
      <c r="P7" s="76" t="s">
        <v>125</v>
      </c>
      <c r="Q7" s="76">
        <v>0.04</v>
      </c>
      <c r="R7" s="76">
        <v>1</v>
      </c>
      <c r="S7" s="76">
        <v>5</v>
      </c>
      <c r="T7" s="76">
        <f>S7*R7*Q7</f>
        <v>0.2</v>
      </c>
    </row>
    <row r="8" spans="1:22" x14ac:dyDescent="0.25">
      <c r="A8" s="76" t="s">
        <v>126</v>
      </c>
      <c r="B8" s="76">
        <f>A3</f>
        <v>0.2</v>
      </c>
      <c r="C8" s="76">
        <f>E3*C3</f>
        <v>0.75</v>
      </c>
      <c r="D8" s="76">
        <v>8</v>
      </c>
      <c r="E8" s="77">
        <f>D8*C8*B8</f>
        <v>1.2000000000000002</v>
      </c>
      <c r="F8" s="76" t="s">
        <v>127</v>
      </c>
      <c r="G8" s="76">
        <v>0.02</v>
      </c>
      <c r="H8" s="76">
        <v>1</v>
      </c>
      <c r="I8" s="76">
        <v>18</v>
      </c>
      <c r="J8" s="76">
        <f t="shared" si="0"/>
        <v>0.36</v>
      </c>
      <c r="K8" s="76" t="s">
        <v>126</v>
      </c>
      <c r="L8" s="76">
        <f>A3</f>
        <v>0.2</v>
      </c>
      <c r="M8" s="76">
        <f>2*C3</f>
        <v>0.5</v>
      </c>
      <c r="N8" s="76">
        <v>8</v>
      </c>
      <c r="O8" s="77">
        <f>N8*M8*L8</f>
        <v>0.8</v>
      </c>
      <c r="P8" s="76" t="s">
        <v>127</v>
      </c>
      <c r="Q8" s="76">
        <v>0.02</v>
      </c>
      <c r="R8" s="76">
        <v>1</v>
      </c>
      <c r="S8" s="76">
        <v>18</v>
      </c>
      <c r="T8" s="76">
        <f>S8*R8*Q8</f>
        <v>0.36</v>
      </c>
    </row>
    <row r="9" spans="1:22" x14ac:dyDescent="0.25">
      <c r="A9" s="76" t="s">
        <v>128</v>
      </c>
      <c r="B9" s="76">
        <f>A3</f>
        <v>0.2</v>
      </c>
      <c r="C9" s="76">
        <f>L3*J3</f>
        <v>0.24</v>
      </c>
      <c r="D9" s="76">
        <v>25</v>
      </c>
      <c r="E9" s="77">
        <f>D9*C9*B9</f>
        <v>1.2000000000000002</v>
      </c>
      <c r="F9" s="76" t="s">
        <v>129</v>
      </c>
      <c r="G9" s="76">
        <v>0.02</v>
      </c>
      <c r="H9" s="76">
        <v>1</v>
      </c>
      <c r="I9" s="76">
        <v>20</v>
      </c>
      <c r="J9" s="76">
        <f t="shared" si="0"/>
        <v>0.4</v>
      </c>
      <c r="K9" s="76" t="s">
        <v>128</v>
      </c>
      <c r="L9" s="76">
        <f>A3</f>
        <v>0.2</v>
      </c>
      <c r="M9" s="76">
        <f>2*J3</f>
        <v>0.16</v>
      </c>
      <c r="N9" s="76">
        <v>25</v>
      </c>
      <c r="O9" s="77">
        <f>N9*M9*L9</f>
        <v>0.8</v>
      </c>
      <c r="P9" s="76" t="s">
        <v>129</v>
      </c>
      <c r="Q9" s="76">
        <v>0.02</v>
      </c>
      <c r="R9" s="76">
        <v>1</v>
      </c>
      <c r="S9" s="76">
        <v>20</v>
      </c>
      <c r="T9" s="76">
        <f>S9*R9*Q9</f>
        <v>0.4</v>
      </c>
    </row>
    <row r="10" spans="1:22" ht="45" x14ac:dyDescent="0.25">
      <c r="A10" s="76"/>
      <c r="B10" s="76"/>
      <c r="C10" s="76"/>
      <c r="D10" s="84"/>
      <c r="E10" s="84"/>
      <c r="F10" s="75" t="s">
        <v>130</v>
      </c>
      <c r="G10" s="76">
        <f>'Dimens. Verifica'!$F$8</f>
        <v>3.3</v>
      </c>
      <c r="H10" s="76">
        <v>0.08</v>
      </c>
      <c r="I10" s="76">
        <v>0</v>
      </c>
      <c r="J10" s="76">
        <f t="shared" si="0"/>
        <v>0</v>
      </c>
      <c r="K10" s="76"/>
      <c r="L10" s="76"/>
      <c r="M10" s="76"/>
      <c r="N10" s="84"/>
      <c r="O10" s="84"/>
      <c r="P10" s="75" t="s">
        <v>131</v>
      </c>
      <c r="Q10" s="76">
        <v>0.05</v>
      </c>
      <c r="R10" s="76">
        <v>1</v>
      </c>
      <c r="S10" s="76">
        <v>0.3</v>
      </c>
      <c r="T10" s="76">
        <f>S10*R10*Q10</f>
        <v>1.4999999999999999E-2</v>
      </c>
    </row>
    <row r="11" spans="1:22" ht="30" x14ac:dyDescent="0.25">
      <c r="A11" s="84"/>
      <c r="B11" s="84"/>
      <c r="C11" s="84"/>
      <c r="D11" s="84"/>
      <c r="E11" s="84"/>
      <c r="F11" s="75" t="s">
        <v>132</v>
      </c>
      <c r="G11" s="76">
        <f>'Dimens. Verifica'!$F$8</f>
        <v>3.3</v>
      </c>
      <c r="H11" s="76">
        <v>0.02</v>
      </c>
      <c r="I11" s="76">
        <v>0</v>
      </c>
      <c r="J11" s="76">
        <f t="shared" si="0"/>
        <v>0</v>
      </c>
      <c r="K11" s="84"/>
      <c r="L11" s="84"/>
      <c r="M11" s="84"/>
      <c r="N11" s="84"/>
      <c r="O11" s="84"/>
      <c r="P11" s="75"/>
      <c r="Q11" s="76"/>
      <c r="R11" s="76"/>
      <c r="S11" s="84"/>
      <c r="T11" s="84"/>
    </row>
    <row r="12" spans="1:22" ht="25.5" customHeight="1" x14ac:dyDescent="0.25">
      <c r="D12" s="362" t="s">
        <v>133</v>
      </c>
      <c r="E12" s="362">
        <f>E7+E8+E9</f>
        <v>3.4000000000000004</v>
      </c>
      <c r="F12" s="130" t="s">
        <v>131</v>
      </c>
      <c r="G12" s="129">
        <v>0.05</v>
      </c>
      <c r="H12" s="129">
        <v>1</v>
      </c>
      <c r="I12" s="129">
        <v>0.3</v>
      </c>
      <c r="J12" s="129">
        <f>G12*H12*I12</f>
        <v>1.4999999999999999E-2</v>
      </c>
      <c r="N12" s="362" t="s">
        <v>133</v>
      </c>
      <c r="O12" s="362">
        <f>O7+O8+O9</f>
        <v>2.6</v>
      </c>
      <c r="S12" s="362" t="s">
        <v>133</v>
      </c>
      <c r="T12" s="362">
        <f>T7+T8+T9+T10</f>
        <v>0.97500000000000009</v>
      </c>
    </row>
    <row r="13" spans="1:22" ht="25.5" customHeight="1" x14ac:dyDescent="0.25">
      <c r="G13" s="78"/>
      <c r="H13" s="78"/>
      <c r="I13" s="362" t="s">
        <v>133</v>
      </c>
      <c r="J13" s="362">
        <f>J7+J8+J9+J10+J11+J12</f>
        <v>0.97500000000000009</v>
      </c>
    </row>
    <row r="14" spans="1:22" ht="45" x14ac:dyDescent="0.25">
      <c r="F14" s="75" t="s">
        <v>134</v>
      </c>
      <c r="G14" s="76">
        <v>2.7</v>
      </c>
      <c r="H14" s="76">
        <v>0.2</v>
      </c>
      <c r="I14" s="76">
        <v>8</v>
      </c>
      <c r="J14" s="76">
        <f>I14*H14*G14</f>
        <v>4.32</v>
      </c>
    </row>
    <row r="15" spans="1:22" ht="30" x14ac:dyDescent="0.25">
      <c r="F15" s="75" t="s">
        <v>135</v>
      </c>
      <c r="G15" s="76">
        <v>3.3</v>
      </c>
      <c r="H15" s="76">
        <v>0.03</v>
      </c>
      <c r="I15" s="76">
        <v>18</v>
      </c>
      <c r="J15" s="76">
        <f>I15*H15*G15</f>
        <v>1.782</v>
      </c>
    </row>
    <row r="16" spans="1:22" x14ac:dyDescent="0.25">
      <c r="G16" s="78"/>
      <c r="H16" s="78"/>
    </row>
    <row r="18" spans="1:21" x14ac:dyDescent="0.25">
      <c r="A18" s="394" t="s">
        <v>162</v>
      </c>
      <c r="B18" s="395"/>
      <c r="C18" s="395"/>
      <c r="D18" s="395"/>
      <c r="E18" s="395"/>
      <c r="F18" s="395"/>
      <c r="G18" s="202"/>
      <c r="H18" s="202"/>
      <c r="I18" s="202"/>
      <c r="J18" s="203"/>
      <c r="K18" s="107"/>
      <c r="L18" s="396" t="s">
        <v>160</v>
      </c>
      <c r="M18" s="396"/>
      <c r="N18" s="396"/>
      <c r="O18" s="396"/>
      <c r="P18" s="396"/>
      <c r="Q18" s="396"/>
      <c r="R18" s="211"/>
      <c r="S18" s="211"/>
      <c r="T18" s="211"/>
      <c r="U18" s="211"/>
    </row>
    <row r="19" spans="1:21" ht="47.25" x14ac:dyDescent="0.25">
      <c r="A19" s="73" t="s">
        <v>256</v>
      </c>
      <c r="B19" s="85" t="s">
        <v>56</v>
      </c>
      <c r="C19" s="73" t="s">
        <v>257</v>
      </c>
      <c r="D19" s="85" t="s">
        <v>57</v>
      </c>
      <c r="E19" s="73" t="s">
        <v>258</v>
      </c>
      <c r="F19" s="85" t="s">
        <v>58</v>
      </c>
      <c r="G19" s="73"/>
      <c r="H19" s="85"/>
      <c r="I19" s="58"/>
      <c r="J19" s="58"/>
      <c r="L19" s="73" t="s">
        <v>256</v>
      </c>
      <c r="M19" s="85" t="s">
        <v>56</v>
      </c>
      <c r="N19" s="73" t="s">
        <v>257</v>
      </c>
      <c r="O19" s="85" t="s">
        <v>57</v>
      </c>
      <c r="P19" s="73" t="s">
        <v>258</v>
      </c>
      <c r="Q19" s="85" t="s">
        <v>58</v>
      </c>
      <c r="R19" s="73"/>
      <c r="S19" s="85"/>
      <c r="T19" s="58"/>
      <c r="U19" s="58"/>
    </row>
    <row r="20" spans="1:21" x14ac:dyDescent="0.25">
      <c r="A20" s="86">
        <f>E12</f>
        <v>3.4000000000000004</v>
      </c>
      <c r="B20" s="86">
        <v>1.3</v>
      </c>
      <c r="C20" s="86">
        <f>J13</f>
        <v>0.97500000000000009</v>
      </c>
      <c r="D20" s="86">
        <v>1.5</v>
      </c>
      <c r="E20" s="86">
        <v>2</v>
      </c>
      <c r="F20" s="86">
        <v>1.5</v>
      </c>
      <c r="G20" s="86"/>
      <c r="H20" s="86"/>
      <c r="I20" s="86"/>
      <c r="J20" s="86"/>
      <c r="K20" s="52"/>
      <c r="L20" s="101">
        <f>O12</f>
        <v>2.6</v>
      </c>
      <c r="M20" s="101">
        <v>1.3</v>
      </c>
      <c r="N20" s="101">
        <f>T12</f>
        <v>0.97500000000000009</v>
      </c>
      <c r="O20" s="101">
        <v>1.5</v>
      </c>
      <c r="P20" s="101">
        <v>4</v>
      </c>
      <c r="Q20" s="101">
        <v>1.5</v>
      </c>
      <c r="R20" s="101"/>
      <c r="S20" s="101"/>
      <c r="T20" s="101"/>
      <c r="U20" s="101"/>
    </row>
    <row r="21" spans="1:21" x14ac:dyDescent="0.25">
      <c r="A21" s="377" t="s">
        <v>138</v>
      </c>
      <c r="B21" s="378"/>
      <c r="C21" s="378"/>
      <c r="D21" s="379"/>
      <c r="E21" s="52"/>
      <c r="F21" s="52"/>
      <c r="G21" s="87"/>
      <c r="H21" s="88"/>
      <c r="I21" s="89"/>
      <c r="J21" s="52"/>
      <c r="K21" s="52"/>
      <c r="L21" s="377" t="s">
        <v>138</v>
      </c>
      <c r="M21" s="378"/>
      <c r="N21" s="378"/>
      <c r="O21" s="379"/>
      <c r="P21" s="74"/>
      <c r="Q21" s="74"/>
      <c r="R21" s="74"/>
      <c r="S21" s="74"/>
      <c r="T21" s="74"/>
      <c r="U21" s="74"/>
    </row>
    <row r="22" spans="1:21" ht="50.25" x14ac:dyDescent="0.25">
      <c r="A22" s="73" t="s">
        <v>259</v>
      </c>
      <c r="B22" s="73" t="s">
        <v>260</v>
      </c>
      <c r="C22" s="73" t="s">
        <v>261</v>
      </c>
      <c r="D22" s="73"/>
      <c r="E22" s="90"/>
      <c r="F22" s="210" t="s">
        <v>33</v>
      </c>
      <c r="G22" s="91"/>
      <c r="H22" s="92"/>
      <c r="I22" s="93"/>
      <c r="J22" s="90"/>
      <c r="K22" s="90"/>
      <c r="L22" s="73" t="s">
        <v>259</v>
      </c>
      <c r="M22" s="73" t="s">
        <v>260</v>
      </c>
      <c r="N22" s="73" t="s">
        <v>261</v>
      </c>
      <c r="O22" s="73"/>
      <c r="P22" s="90"/>
      <c r="Q22" s="210" t="s">
        <v>33</v>
      </c>
      <c r="R22" s="90"/>
      <c r="S22" s="90"/>
      <c r="T22" s="90"/>
      <c r="U22" s="90"/>
    </row>
    <row r="23" spans="1:21" x14ac:dyDescent="0.25">
      <c r="A23" s="86">
        <f>A20*B20</f>
        <v>4.4200000000000008</v>
      </c>
      <c r="B23" s="86">
        <f>C20*D20</f>
        <v>1.4625000000000001</v>
      </c>
      <c r="C23" s="86">
        <f>E20*F20</f>
        <v>3</v>
      </c>
      <c r="D23" s="86"/>
      <c r="E23" s="94"/>
      <c r="F23" s="86">
        <f>A23+B23+C23</f>
        <v>8.8825000000000003</v>
      </c>
      <c r="G23" s="95"/>
      <c r="H23" s="95"/>
      <c r="I23" s="95"/>
      <c r="J23" s="52"/>
      <c r="K23" s="52"/>
      <c r="L23" s="101">
        <f>L20*M20</f>
        <v>3.3800000000000003</v>
      </c>
      <c r="M23" s="101">
        <f>N20*O20</f>
        <v>1.4625000000000001</v>
      </c>
      <c r="N23" s="101">
        <f>P20*Q20</f>
        <v>6</v>
      </c>
      <c r="O23" s="101"/>
      <c r="P23" s="41"/>
      <c r="Q23" s="101">
        <f>L23+M23+N23+O23</f>
        <v>10.842500000000001</v>
      </c>
      <c r="R23" s="74"/>
      <c r="S23" s="74"/>
      <c r="T23" s="74"/>
      <c r="U23" s="74"/>
    </row>
    <row r="24" spans="1:21" x14ac:dyDescent="0.25">
      <c r="A24" s="204"/>
      <c r="B24" s="205"/>
      <c r="C24" s="205"/>
      <c r="D24" s="206"/>
      <c r="E24" s="96"/>
      <c r="F24" s="52"/>
      <c r="G24" s="95"/>
      <c r="H24" s="95"/>
      <c r="I24" s="95"/>
      <c r="J24" s="52"/>
      <c r="K24" s="52"/>
      <c r="L24" s="52"/>
      <c r="M24" s="52"/>
      <c r="N24" s="52"/>
      <c r="O24" s="52"/>
    </row>
    <row r="25" spans="1:21" x14ac:dyDescent="0.25">
      <c r="A25" s="380" t="s">
        <v>159</v>
      </c>
      <c r="B25" s="381"/>
      <c r="C25" s="381"/>
      <c r="D25" s="381"/>
      <c r="E25" s="381"/>
      <c r="F25" s="381"/>
      <c r="G25" s="203"/>
      <c r="H25" s="95"/>
      <c r="I25" s="95"/>
      <c r="J25" s="52"/>
      <c r="K25" s="52"/>
      <c r="L25" s="383" t="s">
        <v>161</v>
      </c>
      <c r="M25" s="384"/>
      <c r="N25" s="384"/>
      <c r="O25" s="384"/>
      <c r="P25" s="384"/>
      <c r="Q25" s="384"/>
      <c r="R25" s="208"/>
    </row>
    <row r="26" spans="1:21" ht="47.25" x14ac:dyDescent="0.25">
      <c r="A26" s="73" t="s">
        <v>256</v>
      </c>
      <c r="B26" s="73" t="s">
        <v>257</v>
      </c>
      <c r="C26" s="73" t="s">
        <v>258</v>
      </c>
      <c r="D26" s="58" t="s">
        <v>63</v>
      </c>
      <c r="E26" s="73"/>
      <c r="F26" s="58"/>
      <c r="G26" s="58"/>
      <c r="H26" s="52"/>
      <c r="I26" s="52"/>
      <c r="J26" s="52"/>
      <c r="K26" s="52"/>
      <c r="L26" s="73" t="s">
        <v>256</v>
      </c>
      <c r="M26" s="73" t="s">
        <v>257</v>
      </c>
      <c r="N26" s="73" t="s">
        <v>258</v>
      </c>
      <c r="O26" s="58" t="s">
        <v>63</v>
      </c>
      <c r="P26" s="73"/>
      <c r="Q26" s="58"/>
      <c r="R26" s="58"/>
    </row>
    <row r="27" spans="1:21" x14ac:dyDescent="0.25">
      <c r="A27" s="86">
        <f>E12</f>
        <v>3.4000000000000004</v>
      </c>
      <c r="B27" s="86">
        <f>J13</f>
        <v>0.97500000000000009</v>
      </c>
      <c r="C27" s="86">
        <f>E20</f>
        <v>2</v>
      </c>
      <c r="D27" s="86">
        <v>0.3</v>
      </c>
      <c r="E27" s="86"/>
      <c r="F27" s="86"/>
      <c r="G27" s="52"/>
      <c r="H27" s="107"/>
      <c r="I27" s="107"/>
      <c r="J27" s="108"/>
      <c r="L27" s="101">
        <f>O12</f>
        <v>2.6</v>
      </c>
      <c r="M27" s="101">
        <f>T12</f>
        <v>0.97500000000000009</v>
      </c>
      <c r="N27" s="101">
        <f>P20</f>
        <v>4</v>
      </c>
      <c r="O27" s="101">
        <v>0.3</v>
      </c>
      <c r="P27" s="101"/>
      <c r="Q27" s="101"/>
      <c r="R27" s="101"/>
    </row>
    <row r="28" spans="1:21" x14ac:dyDescent="0.25">
      <c r="A28" s="377" t="s">
        <v>138</v>
      </c>
      <c r="B28" s="378"/>
      <c r="C28" s="378"/>
      <c r="D28" s="379"/>
      <c r="E28" s="52"/>
      <c r="F28" s="52"/>
      <c r="G28" s="52"/>
      <c r="L28" s="382" t="s">
        <v>138</v>
      </c>
      <c r="M28" s="382"/>
      <c r="N28" s="382"/>
      <c r="O28" s="382"/>
      <c r="P28" s="74"/>
      <c r="Q28" s="74"/>
      <c r="R28" s="74"/>
    </row>
    <row r="29" spans="1:21" ht="41.25" customHeight="1" x14ac:dyDescent="0.25">
      <c r="A29" s="73" t="s">
        <v>259</v>
      </c>
      <c r="B29" s="73" t="s">
        <v>260</v>
      </c>
      <c r="C29" s="73" t="s">
        <v>261</v>
      </c>
      <c r="D29" s="73"/>
      <c r="E29" s="90"/>
      <c r="F29" s="210" t="s">
        <v>33</v>
      </c>
      <c r="G29" s="90"/>
      <c r="H29" s="52"/>
      <c r="I29" s="52"/>
      <c r="J29" s="96"/>
      <c r="K29" s="52"/>
      <c r="L29" s="73" t="s">
        <v>259</v>
      </c>
      <c r="M29" s="73" t="s">
        <v>260</v>
      </c>
      <c r="N29" s="73" t="s">
        <v>261</v>
      </c>
      <c r="O29" s="73"/>
      <c r="P29" s="90"/>
      <c r="Q29" s="210" t="s">
        <v>33</v>
      </c>
      <c r="R29" s="90"/>
    </row>
    <row r="30" spans="1:21" x14ac:dyDescent="0.25">
      <c r="A30" s="86">
        <f>A27</f>
        <v>3.4000000000000004</v>
      </c>
      <c r="B30" s="86">
        <f>B27</f>
        <v>0.97500000000000009</v>
      </c>
      <c r="C30" s="86">
        <f>C27*D27</f>
        <v>0.6</v>
      </c>
      <c r="D30" s="86"/>
      <c r="E30" s="94"/>
      <c r="F30" s="86">
        <f>A30+B30+C30+D30</f>
        <v>4.9749999999999996</v>
      </c>
      <c r="G30" s="52"/>
      <c r="H30" s="52"/>
      <c r="I30" s="52"/>
      <c r="J30" s="96"/>
      <c r="K30" s="52"/>
      <c r="L30" s="106">
        <f>L27</f>
        <v>2.6</v>
      </c>
      <c r="M30" s="106">
        <f>M27</f>
        <v>0.97500000000000009</v>
      </c>
      <c r="N30" s="106">
        <f>N27*O27</f>
        <v>1.2</v>
      </c>
      <c r="O30" s="106"/>
      <c r="Q30" s="106">
        <f>L30+M30+N30+O30</f>
        <v>4.7750000000000004</v>
      </c>
      <c r="R30" s="107"/>
    </row>
    <row r="31" spans="1:21" x14ac:dyDescent="0.25">
      <c r="A31" s="73"/>
      <c r="B31" s="73"/>
      <c r="C31" s="73"/>
      <c r="D31" s="73"/>
      <c r="E31" s="90"/>
      <c r="F31" s="90"/>
      <c r="G31" s="90"/>
      <c r="H31" s="90"/>
      <c r="I31" s="90"/>
      <c r="J31" s="90"/>
      <c r="K31" s="90"/>
      <c r="L31" s="207"/>
      <c r="M31" s="207"/>
      <c r="N31" s="207"/>
      <c r="O31" s="207"/>
    </row>
    <row r="32" spans="1:21" x14ac:dyDescent="0.25">
      <c r="A32" s="86"/>
      <c r="B32" s="86"/>
      <c r="C32" s="86"/>
      <c r="D32" s="86"/>
      <c r="E32" s="94"/>
      <c r="F32" s="86"/>
      <c r="G32" s="52"/>
      <c r="H32" s="52"/>
      <c r="I32" s="52"/>
      <c r="J32" s="52"/>
      <c r="K32" s="52"/>
      <c r="L32" s="52"/>
      <c r="M32" s="52"/>
      <c r="N32" s="52"/>
      <c r="O32" s="52"/>
    </row>
    <row r="33" spans="1:15" x14ac:dyDescent="0.25">
      <c r="A33" s="204"/>
      <c r="B33" s="205"/>
      <c r="C33" s="205"/>
      <c r="D33" s="206"/>
      <c r="E33" s="52"/>
      <c r="F33" s="52"/>
      <c r="G33" s="52"/>
      <c r="H33" s="52"/>
      <c r="I33" s="52"/>
      <c r="J33" s="52"/>
      <c r="K33" s="52"/>
      <c r="L33" s="52"/>
      <c r="M33" s="52"/>
      <c r="N33" s="52"/>
      <c r="O33" s="52"/>
    </row>
    <row r="34" spans="1:15" x14ac:dyDescent="0.25">
      <c r="A34" s="73"/>
      <c r="B34" s="73"/>
      <c r="C34" s="73"/>
      <c r="D34" s="73"/>
      <c r="E34" s="52"/>
      <c r="F34" s="52"/>
      <c r="G34" s="52"/>
      <c r="H34" s="52"/>
      <c r="I34" s="52"/>
      <c r="J34" s="52"/>
      <c r="K34" s="52"/>
      <c r="L34" s="52"/>
      <c r="M34" s="52"/>
      <c r="N34" s="52"/>
      <c r="O34" s="52"/>
    </row>
    <row r="35" spans="1:15" x14ac:dyDescent="0.25">
      <c r="A35" s="97"/>
      <c r="B35" s="97"/>
      <c r="C35" s="98"/>
      <c r="D35" s="99"/>
      <c r="E35" s="52"/>
      <c r="F35" s="86"/>
      <c r="G35" s="52"/>
      <c r="H35" s="52"/>
      <c r="I35" s="52"/>
      <c r="J35" s="52"/>
      <c r="K35" s="52"/>
      <c r="L35" s="52"/>
      <c r="M35" s="52"/>
      <c r="N35" s="52"/>
      <c r="O35" s="52"/>
    </row>
    <row r="36" spans="1:15" x14ac:dyDescent="0.25">
      <c r="A36" s="201"/>
      <c r="B36" s="202"/>
      <c r="C36" s="202"/>
      <c r="D36" s="202"/>
      <c r="E36" s="202"/>
      <c r="F36" s="202"/>
      <c r="G36" s="202"/>
      <c r="H36" s="203"/>
      <c r="I36" s="107"/>
      <c r="J36" s="107"/>
      <c r="K36" s="107"/>
      <c r="L36" s="108"/>
      <c r="N36" s="90"/>
      <c r="O36" s="90"/>
    </row>
    <row r="37" spans="1:15" ht="18.75" x14ac:dyDescent="0.25">
      <c r="A37" s="73"/>
      <c r="B37" s="73"/>
      <c r="C37" s="73"/>
      <c r="D37" s="58"/>
      <c r="E37" s="73"/>
      <c r="F37" s="58"/>
      <c r="G37" s="58"/>
      <c r="H37" s="58"/>
      <c r="N37" s="85"/>
      <c r="O37" s="96"/>
    </row>
    <row r="38" spans="1:15" x14ac:dyDescent="0.25">
      <c r="A38" s="86"/>
      <c r="B38" s="86"/>
      <c r="C38" s="86"/>
      <c r="D38" s="86"/>
      <c r="E38" s="86"/>
      <c r="F38" s="86"/>
      <c r="G38" s="86"/>
      <c r="H38" s="86"/>
      <c r="I38" s="52"/>
      <c r="J38" s="52"/>
      <c r="K38" s="52"/>
      <c r="L38" s="96"/>
      <c r="M38" s="96"/>
      <c r="N38" s="52"/>
      <c r="O38" s="96"/>
    </row>
    <row r="39" spans="1:15" x14ac:dyDescent="0.25">
      <c r="A39" s="204"/>
      <c r="B39" s="205"/>
      <c r="C39" s="205"/>
      <c r="D39" s="206"/>
      <c r="E39" s="52"/>
      <c r="F39" s="52"/>
      <c r="G39" s="52"/>
      <c r="H39" s="52"/>
      <c r="I39" s="52"/>
      <c r="J39" s="52"/>
      <c r="K39" s="52"/>
      <c r="L39" s="96"/>
      <c r="M39" s="96"/>
      <c r="N39" s="52"/>
      <c r="O39" s="96"/>
    </row>
    <row r="40" spans="1:15" x14ac:dyDescent="0.25">
      <c r="A40" s="73"/>
      <c r="B40" s="73"/>
      <c r="C40" s="73"/>
      <c r="D40" s="73"/>
      <c r="E40" s="90"/>
      <c r="F40" s="90"/>
      <c r="G40" s="90"/>
      <c r="H40" s="90"/>
      <c r="I40" s="90"/>
      <c r="J40" s="90"/>
      <c r="K40" s="90"/>
      <c r="L40" s="90"/>
      <c r="M40" s="90"/>
      <c r="N40" s="90"/>
      <c r="O40" s="90"/>
    </row>
    <row r="41" spans="1:15" x14ac:dyDescent="0.25">
      <c r="A41" s="86"/>
      <c r="B41" s="86"/>
      <c r="C41" s="86"/>
      <c r="D41" s="86"/>
      <c r="E41" s="94"/>
      <c r="F41" s="86"/>
      <c r="G41" s="52"/>
      <c r="H41" s="52"/>
      <c r="I41" s="52"/>
      <c r="J41" s="52"/>
      <c r="K41" s="52"/>
      <c r="L41" s="52"/>
      <c r="M41" s="52"/>
      <c r="N41" s="52"/>
      <c r="O41" s="52"/>
    </row>
    <row r="42" spans="1:15" x14ac:dyDescent="0.25">
      <c r="A42" s="204"/>
      <c r="B42" s="205"/>
      <c r="C42" s="205"/>
      <c r="D42" s="206"/>
      <c r="E42" s="96"/>
      <c r="F42" s="52"/>
      <c r="G42" s="52"/>
      <c r="H42" s="52"/>
      <c r="I42" s="52"/>
      <c r="J42" s="52"/>
      <c r="K42" s="52"/>
      <c r="L42" s="52"/>
      <c r="M42" s="52"/>
      <c r="N42" s="52"/>
      <c r="O42" s="52"/>
    </row>
    <row r="43" spans="1:15" x14ac:dyDescent="0.25">
      <c r="A43" s="73"/>
      <c r="B43" s="73"/>
      <c r="C43" s="73"/>
      <c r="D43" s="73"/>
      <c r="E43" s="96"/>
      <c r="F43" s="52"/>
      <c r="G43" s="52"/>
      <c r="H43" s="52"/>
      <c r="I43" s="52"/>
      <c r="J43" s="52"/>
      <c r="K43" s="52"/>
      <c r="L43" s="52"/>
      <c r="M43" s="52"/>
      <c r="N43" s="52"/>
      <c r="O43" s="52"/>
    </row>
    <row r="44" spans="1:15" x14ac:dyDescent="0.25">
      <c r="A44" s="86"/>
      <c r="B44" s="86"/>
      <c r="C44" s="86"/>
      <c r="D44" s="86"/>
      <c r="E44" s="86"/>
      <c r="F44" s="86"/>
      <c r="G44" s="52"/>
      <c r="H44" s="52"/>
      <c r="I44" s="52"/>
      <c r="J44" s="52"/>
      <c r="K44" s="52"/>
      <c r="L44" s="52"/>
      <c r="M44" s="52"/>
      <c r="N44" s="52"/>
      <c r="O44" s="52"/>
    </row>
    <row r="45" spans="1:15" x14ac:dyDescent="0.25">
      <c r="H45" s="107"/>
      <c r="I45" s="107"/>
      <c r="J45" s="107"/>
      <c r="K45" s="108"/>
      <c r="M45" s="90"/>
      <c r="N45" s="90"/>
      <c r="O45" s="90"/>
    </row>
    <row r="46" spans="1:15" ht="18.75" x14ac:dyDescent="0.25">
      <c r="M46" s="96"/>
      <c r="N46" s="85"/>
      <c r="O46" s="96"/>
    </row>
    <row r="47" spans="1:15" x14ac:dyDescent="0.25">
      <c r="H47" s="52"/>
      <c r="I47" s="52"/>
      <c r="J47" s="52"/>
      <c r="K47" s="52"/>
      <c r="L47" s="96"/>
      <c r="M47" s="96"/>
      <c r="N47" s="52"/>
      <c r="O47" s="96"/>
    </row>
    <row r="48" spans="1:15" x14ac:dyDescent="0.25">
      <c r="H48" s="52"/>
      <c r="I48" s="52"/>
      <c r="J48" s="52"/>
      <c r="K48" s="52"/>
      <c r="L48" s="96"/>
      <c r="M48" s="96"/>
      <c r="N48" s="52"/>
      <c r="O48" s="96"/>
    </row>
    <row r="49" spans="1:15" x14ac:dyDescent="0.25">
      <c r="H49" s="90"/>
      <c r="I49" s="90"/>
      <c r="J49" s="90"/>
      <c r="K49" s="90"/>
      <c r="L49" s="90"/>
      <c r="M49" s="90"/>
      <c r="N49" s="90"/>
      <c r="O49" s="90"/>
    </row>
    <row r="50" spans="1:15" x14ac:dyDescent="0.25">
      <c r="H50" s="52"/>
      <c r="I50" s="52"/>
      <c r="J50" s="52"/>
      <c r="K50" s="52"/>
      <c r="L50" s="52"/>
      <c r="M50" s="52"/>
      <c r="N50" s="52"/>
      <c r="O50" s="52"/>
    </row>
    <row r="51" spans="1:15" x14ac:dyDescent="0.25">
      <c r="A51" s="204"/>
      <c r="B51" s="205"/>
      <c r="C51" s="205"/>
      <c r="D51" s="206"/>
      <c r="E51" s="100"/>
      <c r="F51" s="74"/>
      <c r="G51" s="74"/>
      <c r="H51" s="74"/>
      <c r="I51" s="74"/>
      <c r="J51" s="74"/>
      <c r="K51" s="74"/>
      <c r="L51" s="74"/>
      <c r="M51" s="74"/>
      <c r="N51" s="74"/>
      <c r="O51" s="74"/>
    </row>
    <row r="52" spans="1:15" x14ac:dyDescent="0.25">
      <c r="A52" s="73"/>
      <c r="B52" s="73"/>
      <c r="C52" s="73"/>
      <c r="D52" s="73"/>
      <c r="E52" s="100"/>
      <c r="F52" s="74"/>
      <c r="G52" s="74"/>
      <c r="H52" s="74"/>
      <c r="I52" s="74"/>
      <c r="J52" s="74"/>
      <c r="K52" s="74"/>
      <c r="L52" s="74"/>
      <c r="M52" s="74"/>
      <c r="N52" s="74"/>
      <c r="O52" s="74"/>
    </row>
    <row r="53" spans="1:15" x14ac:dyDescent="0.25">
      <c r="A53" s="12"/>
      <c r="B53" s="12"/>
      <c r="C53" s="12"/>
      <c r="D53" s="12"/>
      <c r="E53" s="12"/>
      <c r="F53" s="12"/>
    </row>
    <row r="54" spans="1:15" x14ac:dyDescent="0.25">
      <c r="K54" s="107"/>
      <c r="L54" s="107"/>
      <c r="M54" s="107"/>
      <c r="N54" s="108"/>
    </row>
    <row r="56" spans="1:15" x14ac:dyDescent="0.25">
      <c r="K56" s="74"/>
      <c r="L56" s="74"/>
      <c r="M56" s="74"/>
      <c r="N56" s="74"/>
      <c r="O56" s="102"/>
    </row>
    <row r="57" spans="1:15" x14ac:dyDescent="0.25">
      <c r="K57" s="74"/>
      <c r="L57" s="74"/>
      <c r="M57" s="74"/>
      <c r="N57" s="74"/>
      <c r="O57" s="74"/>
    </row>
    <row r="58" spans="1:15" x14ac:dyDescent="0.25">
      <c r="K58" s="90"/>
      <c r="L58" s="90"/>
      <c r="M58" s="90"/>
      <c r="N58" s="90"/>
      <c r="O58" s="90"/>
    </row>
    <row r="59" spans="1:15" x14ac:dyDescent="0.25">
      <c r="K59" s="74"/>
      <c r="L59" s="74"/>
      <c r="M59" s="74"/>
      <c r="N59" s="74"/>
      <c r="O59" s="102"/>
    </row>
    <row r="60" spans="1:15" x14ac:dyDescent="0.25">
      <c r="A60" s="207"/>
      <c r="B60" s="207"/>
      <c r="C60" s="207"/>
      <c r="D60" s="207"/>
      <c r="F60" s="74"/>
      <c r="G60" s="74"/>
      <c r="H60" s="74"/>
      <c r="I60" s="74"/>
      <c r="J60" s="74"/>
      <c r="K60" s="74"/>
      <c r="L60" s="74"/>
      <c r="M60" s="74"/>
      <c r="N60" s="74"/>
      <c r="O60" s="102"/>
    </row>
    <row r="61" spans="1:15" x14ac:dyDescent="0.25">
      <c r="A61" s="73"/>
      <c r="B61" s="73"/>
      <c r="C61" s="73"/>
      <c r="D61" s="73"/>
      <c r="F61" s="74"/>
      <c r="G61" s="74"/>
      <c r="H61" s="74"/>
      <c r="I61" s="74"/>
      <c r="J61" s="74"/>
      <c r="K61" s="74"/>
      <c r="L61" s="74"/>
      <c r="M61" s="74"/>
      <c r="N61" s="74"/>
      <c r="O61" s="102"/>
    </row>
    <row r="62" spans="1:15" x14ac:dyDescent="0.25">
      <c r="A62" s="101"/>
      <c r="B62" s="101"/>
      <c r="C62" s="101"/>
      <c r="D62" s="101"/>
      <c r="E62" s="101"/>
      <c r="F62" s="101"/>
      <c r="G62" s="74"/>
      <c r="H62" s="74"/>
      <c r="I62" s="74"/>
      <c r="J62" s="74"/>
      <c r="K62" s="74"/>
      <c r="L62" s="74"/>
      <c r="M62" s="74"/>
      <c r="N62" s="74"/>
      <c r="O62" s="102"/>
    </row>
    <row r="63" spans="1:15" x14ac:dyDescent="0.25">
      <c r="A63" s="208"/>
      <c r="B63" s="208"/>
      <c r="C63" s="208"/>
      <c r="D63" s="208"/>
      <c r="E63" s="208"/>
      <c r="F63" s="208"/>
      <c r="G63" s="107"/>
      <c r="H63" s="107"/>
      <c r="I63" s="107"/>
      <c r="J63" s="108"/>
      <c r="L63" s="90"/>
      <c r="M63" s="90"/>
      <c r="N63" s="90"/>
      <c r="O63" s="90"/>
    </row>
    <row r="64" spans="1:15" ht="18.75" x14ac:dyDescent="0.25">
      <c r="A64" s="73"/>
      <c r="B64" s="73"/>
      <c r="C64" s="73"/>
      <c r="D64" s="73"/>
      <c r="E64" s="58"/>
      <c r="F64" s="58"/>
      <c r="N64" s="104"/>
    </row>
    <row r="65" spans="1:15" x14ac:dyDescent="0.25">
      <c r="A65" s="101"/>
      <c r="B65" s="101"/>
      <c r="C65" s="101"/>
      <c r="D65" s="101"/>
      <c r="E65" s="101"/>
      <c r="F65" s="101"/>
      <c r="G65" s="101"/>
      <c r="H65" s="101"/>
      <c r="I65" s="105"/>
      <c r="J65" s="12"/>
      <c r="K65" s="101"/>
      <c r="N65" s="74"/>
    </row>
    <row r="66" spans="1:15" x14ac:dyDescent="0.25">
      <c r="A66" s="209"/>
      <c r="B66" s="209"/>
      <c r="C66" s="209"/>
      <c r="D66" s="209"/>
      <c r="E66" s="74"/>
      <c r="F66" s="74"/>
      <c r="G66" s="74"/>
      <c r="H66" s="74"/>
      <c r="I66" s="74"/>
      <c r="K66" s="74"/>
      <c r="N66" s="74"/>
    </row>
    <row r="67" spans="1:15" x14ac:dyDescent="0.25">
      <c r="A67" s="73"/>
      <c r="B67" s="73"/>
      <c r="C67" s="73"/>
      <c r="D67" s="73"/>
      <c r="E67" s="90"/>
      <c r="F67" s="90"/>
      <c r="G67" s="90"/>
      <c r="H67" s="90"/>
      <c r="I67" s="90"/>
      <c r="J67" s="90"/>
      <c r="K67" s="90"/>
      <c r="L67" s="90"/>
      <c r="M67" s="90"/>
      <c r="N67" s="90"/>
      <c r="O67" s="90"/>
    </row>
    <row r="68" spans="1:15" x14ac:dyDescent="0.25">
      <c r="A68" s="101"/>
      <c r="B68" s="101"/>
      <c r="C68" s="101"/>
      <c r="D68" s="101"/>
      <c r="E68" s="41"/>
      <c r="F68" s="101"/>
      <c r="G68" s="74"/>
      <c r="H68" s="74"/>
      <c r="I68" s="74"/>
      <c r="J68" s="74"/>
      <c r="K68" s="74"/>
      <c r="L68" s="74"/>
      <c r="M68" s="74"/>
      <c r="N68" s="74"/>
      <c r="O68" s="102"/>
    </row>
    <row r="69" spans="1:15" x14ac:dyDescent="0.25">
      <c r="A69" s="207"/>
      <c r="B69" s="207"/>
      <c r="C69" s="207"/>
      <c r="D69" s="207"/>
      <c r="E69" s="74"/>
      <c r="F69" s="74"/>
      <c r="G69" s="74"/>
      <c r="H69" s="74"/>
      <c r="I69" s="74"/>
      <c r="J69" s="74"/>
      <c r="K69" s="74"/>
      <c r="L69" s="74"/>
      <c r="M69" s="74"/>
      <c r="N69" s="74"/>
      <c r="O69" s="102"/>
    </row>
    <row r="70" spans="1:15" x14ac:dyDescent="0.25">
      <c r="A70" s="73"/>
      <c r="B70" s="73"/>
      <c r="C70" s="73"/>
      <c r="D70" s="73"/>
      <c r="E70" s="74"/>
      <c r="F70" s="74"/>
      <c r="G70" s="74"/>
      <c r="H70" s="74"/>
      <c r="I70" s="74"/>
      <c r="J70" s="74"/>
      <c r="K70" s="74"/>
      <c r="L70" s="74"/>
      <c r="M70" s="74"/>
      <c r="N70" s="74"/>
      <c r="O70" s="74"/>
    </row>
    <row r="71" spans="1:15" x14ac:dyDescent="0.25">
      <c r="A71" s="101"/>
      <c r="B71" s="101"/>
      <c r="C71" s="101"/>
      <c r="D71" s="101"/>
      <c r="E71" s="74"/>
      <c r="F71" s="101"/>
      <c r="G71" s="74"/>
      <c r="H71" s="74"/>
      <c r="I71" s="74"/>
      <c r="J71" s="74"/>
      <c r="K71" s="74"/>
      <c r="L71" s="74"/>
      <c r="M71" s="74"/>
      <c r="N71" s="74"/>
      <c r="O71" s="74"/>
    </row>
    <row r="72" spans="1:15" x14ac:dyDescent="0.25">
      <c r="A72" s="208"/>
      <c r="B72" s="208"/>
      <c r="C72" s="208"/>
      <c r="D72" s="208"/>
      <c r="E72" s="208"/>
      <c r="F72" s="208"/>
      <c r="G72" s="208"/>
      <c r="H72" s="208"/>
      <c r="I72" s="107"/>
      <c r="J72" s="107"/>
      <c r="K72" s="107"/>
      <c r="L72" s="108"/>
      <c r="N72" s="90"/>
      <c r="O72" s="90"/>
    </row>
    <row r="73" spans="1:15" ht="18.75" x14ac:dyDescent="0.25">
      <c r="A73" s="73"/>
      <c r="B73" s="73"/>
      <c r="C73" s="73"/>
      <c r="D73" s="58"/>
      <c r="E73" s="73"/>
      <c r="F73" s="58"/>
      <c r="G73" s="58"/>
      <c r="H73" s="58"/>
      <c r="N73" s="104"/>
    </row>
    <row r="74" spans="1:15" x14ac:dyDescent="0.25">
      <c r="A74" s="101"/>
      <c r="B74" s="101"/>
      <c r="C74" s="101"/>
      <c r="D74" s="101"/>
      <c r="E74" s="101"/>
      <c r="F74" s="101"/>
      <c r="G74" s="101"/>
      <c r="H74" s="101"/>
      <c r="I74" s="74"/>
      <c r="J74" s="102"/>
      <c r="K74" s="74"/>
      <c r="N74" s="74"/>
    </row>
    <row r="75" spans="1:15" x14ac:dyDescent="0.25">
      <c r="A75" s="209"/>
      <c r="B75" s="209"/>
      <c r="C75" s="209"/>
      <c r="D75" s="209"/>
      <c r="E75" s="74"/>
      <c r="F75" s="74"/>
      <c r="G75" s="74"/>
      <c r="H75" s="74"/>
      <c r="I75" s="74"/>
      <c r="J75" s="74"/>
      <c r="K75" s="74"/>
      <c r="N75" s="74"/>
    </row>
    <row r="76" spans="1:15" x14ac:dyDescent="0.25">
      <c r="A76" s="73"/>
      <c r="B76" s="73"/>
      <c r="C76" s="73"/>
      <c r="D76" s="73"/>
      <c r="E76" s="90"/>
      <c r="F76" s="90"/>
      <c r="G76" s="90"/>
      <c r="H76" s="90"/>
      <c r="I76" s="90"/>
      <c r="J76" s="90"/>
      <c r="K76" s="90"/>
      <c r="L76" s="90"/>
      <c r="M76" s="90"/>
      <c r="N76" s="90"/>
      <c r="O76" s="90"/>
    </row>
    <row r="77" spans="1:15" x14ac:dyDescent="0.25">
      <c r="A77" s="101"/>
      <c r="B77" s="101"/>
      <c r="C77" s="101"/>
      <c r="D77" s="101"/>
      <c r="E77" s="41"/>
      <c r="F77" s="101"/>
      <c r="G77" s="74"/>
      <c r="H77" s="74"/>
      <c r="I77" s="74"/>
      <c r="J77" s="74"/>
      <c r="K77" s="74"/>
      <c r="L77" s="74"/>
      <c r="M77" s="74"/>
      <c r="N77" s="74"/>
      <c r="O77" s="102"/>
    </row>
    <row r="78" spans="1:15" x14ac:dyDescent="0.25">
      <c r="A78" s="207"/>
      <c r="B78" s="207"/>
      <c r="C78" s="207"/>
      <c r="D78" s="207"/>
      <c r="F78" s="74"/>
      <c r="G78" s="74"/>
      <c r="H78" s="74"/>
      <c r="I78" s="74"/>
      <c r="J78" s="74"/>
      <c r="K78" s="74"/>
      <c r="L78" s="74"/>
      <c r="M78" s="74"/>
      <c r="N78" s="74"/>
      <c r="O78" s="102"/>
    </row>
    <row r="79" spans="1:15" x14ac:dyDescent="0.25">
      <c r="A79" s="73"/>
      <c r="B79" s="73"/>
      <c r="C79" s="73"/>
      <c r="D79" s="73"/>
      <c r="F79" s="74"/>
      <c r="G79" s="74"/>
      <c r="H79" s="74"/>
      <c r="I79" s="74"/>
      <c r="J79" s="74"/>
      <c r="K79" s="74"/>
      <c r="L79" s="74"/>
      <c r="M79" s="74"/>
      <c r="N79" s="74"/>
      <c r="O79" s="102"/>
    </row>
    <row r="80" spans="1:15" x14ac:dyDescent="0.25">
      <c r="A80" s="101"/>
      <c r="B80" s="101"/>
      <c r="C80" s="101"/>
      <c r="D80" s="101"/>
      <c r="E80" s="101"/>
      <c r="F80" s="101"/>
      <c r="G80" s="74"/>
      <c r="H80" s="74"/>
      <c r="I80" s="74"/>
      <c r="J80" s="74"/>
      <c r="K80" s="74"/>
      <c r="L80" s="74"/>
      <c r="M80" s="74"/>
      <c r="N80" s="74"/>
      <c r="O80" s="102"/>
    </row>
    <row r="81" spans="1:15" x14ac:dyDescent="0.25">
      <c r="H81" s="107"/>
      <c r="I81" s="107"/>
      <c r="J81" s="107"/>
      <c r="K81" s="108"/>
      <c r="M81" s="90"/>
      <c r="N81" s="90"/>
      <c r="O81" s="90"/>
    </row>
    <row r="82" spans="1:15" ht="18.75" x14ac:dyDescent="0.25">
      <c r="N82" s="104"/>
    </row>
    <row r="83" spans="1:15" x14ac:dyDescent="0.25">
      <c r="H83" s="74"/>
      <c r="I83" s="74"/>
      <c r="J83" s="102"/>
      <c r="K83" s="74"/>
      <c r="N83" s="74"/>
    </row>
    <row r="84" spans="1:15" x14ac:dyDescent="0.25">
      <c r="H84" s="74"/>
      <c r="I84" s="74"/>
      <c r="J84" s="74"/>
      <c r="K84" s="74"/>
      <c r="N84" s="74"/>
    </row>
    <row r="85" spans="1:15" x14ac:dyDescent="0.25">
      <c r="H85" s="90"/>
      <c r="I85" s="90"/>
      <c r="J85" s="90"/>
      <c r="K85" s="90"/>
      <c r="L85" s="90"/>
      <c r="M85" s="90"/>
      <c r="N85" s="90"/>
      <c r="O85" s="90"/>
    </row>
    <row r="86" spans="1:15" x14ac:dyDescent="0.25">
      <c r="H86" s="107"/>
      <c r="I86" s="107"/>
      <c r="J86" s="107"/>
      <c r="K86" s="107"/>
      <c r="L86" s="107"/>
      <c r="M86" s="107"/>
      <c r="N86" s="107"/>
      <c r="O86" s="108"/>
    </row>
    <row r="88" spans="1:15" x14ac:dyDescent="0.25">
      <c r="A88" s="73"/>
      <c r="B88" s="73"/>
      <c r="C88" s="73"/>
      <c r="D88" s="73"/>
    </row>
    <row r="89" spans="1:15" x14ac:dyDescent="0.25">
      <c r="A89" s="12"/>
      <c r="B89" s="12"/>
      <c r="C89" s="12"/>
      <c r="D89" s="12"/>
      <c r="F89" s="12"/>
    </row>
  </sheetData>
  <mergeCells count="19">
    <mergeCell ref="O1:R1"/>
    <mergeCell ref="S1:V1"/>
    <mergeCell ref="A5:E5"/>
    <mergeCell ref="F5:J5"/>
    <mergeCell ref="K5:O5"/>
    <mergeCell ref="P5:T5"/>
    <mergeCell ref="A1:E1"/>
    <mergeCell ref="F1:G1"/>
    <mergeCell ref="H1:I1"/>
    <mergeCell ref="J1:L1"/>
    <mergeCell ref="M1:N1"/>
    <mergeCell ref="L21:O21"/>
    <mergeCell ref="L28:O28"/>
    <mergeCell ref="L25:Q25"/>
    <mergeCell ref="L18:Q18"/>
    <mergeCell ref="A28:D28"/>
    <mergeCell ref="A25:F25"/>
    <mergeCell ref="A21:D21"/>
    <mergeCell ref="A18:F18"/>
  </mergeCells>
  <conditionalFormatting sqref="B3">
    <cfRule type="expression" dxfId="16" priority="8">
      <formula>$B$3="VERIFICA"</formula>
    </cfRule>
  </conditionalFormatting>
  <conditionalFormatting sqref="D3">
    <cfRule type="expression" dxfId="15" priority="7">
      <formula>$D$3="VERIFICA"</formula>
    </cfRule>
  </conditionalFormatting>
  <conditionalFormatting sqref="G3">
    <cfRule type="expression" dxfId="14" priority="6">
      <formula>$G$3="VERIFICA"</formula>
    </cfRule>
  </conditionalFormatting>
  <conditionalFormatting sqref="K3">
    <cfRule type="expression" dxfId="13" priority="5">
      <formula>$K$3="VERIFICA"</formula>
    </cfRule>
  </conditionalFormatting>
  <conditionalFormatting sqref="N3">
    <cfRule type="expression" dxfId="12" priority="4">
      <formula>$N$3="VERIFICA"</formula>
    </cfRule>
  </conditionalFormatting>
  <conditionalFormatting sqref="Q3">
    <cfRule type="expression" dxfId="11" priority="3">
      <formula>$Q$3="VERIFICA"</formula>
    </cfRule>
  </conditionalFormatting>
  <conditionalFormatting sqref="U3">
    <cfRule type="expression" dxfId="10" priority="2">
      <formula>$U$3="VERIFICA"</formula>
    </cfRule>
  </conditionalFormatting>
  <conditionalFormatting sqref="I3">
    <cfRule type="expression" dxfId="9" priority="1">
      <formula>$I$3="VERIFICA"</formula>
    </cfRule>
  </conditionalFormatting>
  <dataValidations disablePrompts="1" count="3">
    <dataValidation type="list" allowBlank="1" showInputMessage="1" showErrorMessage="1" sqref="E3 L3">
      <formula1>Numero</formula1>
    </dataValidation>
    <dataValidation type="list" allowBlank="1" showInputMessage="1" showErrorMessage="1" sqref="V3">
      <formula1>Balcone</formula1>
    </dataValidation>
    <dataValidation type="list" allowBlank="1" showInputMessage="1" showErrorMessage="1" sqref="P3">
      <formula1>Solaio</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zoomScale="90" zoomScaleNormal="90" workbookViewId="0">
      <selection activeCell="D29" sqref="D29"/>
    </sheetView>
  </sheetViews>
  <sheetFormatPr defaultRowHeight="15" x14ac:dyDescent="0.25"/>
  <cols>
    <col min="2" max="2" width="10.140625" customWidth="1"/>
    <col min="4" max="4" width="7.5703125" customWidth="1"/>
    <col min="5" max="5" width="10.42578125" customWidth="1"/>
    <col min="6" max="6" width="8.5703125" customWidth="1"/>
    <col min="7" max="7" width="10.5703125" customWidth="1"/>
    <col min="8" max="8" width="10.28515625" customWidth="1"/>
    <col min="9" max="9" width="9.85546875" bestFit="1" customWidth="1"/>
    <col min="10" max="10" width="9.85546875" customWidth="1"/>
    <col min="11" max="11" width="9.7109375" customWidth="1"/>
    <col min="12" max="12" width="10" customWidth="1"/>
    <col min="13" max="13" width="7.5703125" customWidth="1"/>
    <col min="14" max="14" width="8.7109375" customWidth="1"/>
    <col min="15" max="15" width="10.140625" customWidth="1"/>
    <col min="16" max="16" width="12" customWidth="1"/>
    <col min="17" max="17" width="10.140625" customWidth="1"/>
    <col min="18" max="19" width="8.28515625" customWidth="1"/>
    <col min="20" max="20" width="8.140625" customWidth="1"/>
    <col min="21" max="21" width="7.5703125" customWidth="1"/>
    <col min="22" max="22" width="7.85546875" customWidth="1"/>
    <col min="23" max="23" width="7.7109375" customWidth="1"/>
    <col min="33" max="34" width="11" customWidth="1"/>
  </cols>
  <sheetData>
    <row r="1" spans="1:31" ht="45" x14ac:dyDescent="0.25">
      <c r="A1" s="398" t="s">
        <v>144</v>
      </c>
      <c r="B1" s="400"/>
      <c r="C1" s="398" t="s">
        <v>145</v>
      </c>
      <c r="D1" s="399"/>
      <c r="E1" s="399" t="s">
        <v>146</v>
      </c>
      <c r="F1" s="399"/>
      <c r="G1" s="127" t="s">
        <v>292</v>
      </c>
    </row>
    <row r="2" spans="1:31" ht="36" x14ac:dyDescent="0.25">
      <c r="A2" s="125" t="s">
        <v>102</v>
      </c>
      <c r="B2" s="127" t="s">
        <v>165</v>
      </c>
      <c r="C2" s="109" t="s">
        <v>141</v>
      </c>
      <c r="D2" s="194" t="s">
        <v>276</v>
      </c>
      <c r="E2" s="73" t="s">
        <v>256</v>
      </c>
      <c r="F2" s="111" t="s">
        <v>278</v>
      </c>
      <c r="G2" s="112" t="s">
        <v>274</v>
      </c>
    </row>
    <row r="3" spans="1:31" x14ac:dyDescent="0.25">
      <c r="A3" s="129">
        <v>0.3</v>
      </c>
      <c r="B3" s="129">
        <v>0.6</v>
      </c>
      <c r="C3" s="129">
        <v>25</v>
      </c>
      <c r="D3" s="129">
        <f>A3*B3*C3</f>
        <v>4.5</v>
      </c>
      <c r="E3" s="20">
        <f>'Analisi dei Carichi Solaio VI'!A20</f>
        <v>3.4000000000000004</v>
      </c>
      <c r="F3" s="129">
        <f>A3*E3</f>
        <v>1.02</v>
      </c>
      <c r="G3" s="129">
        <f>D3-F3</f>
        <v>3.48</v>
      </c>
    </row>
    <row r="4" spans="1:31" x14ac:dyDescent="0.25">
      <c r="A4" s="121"/>
      <c r="B4" s="121"/>
      <c r="C4" s="121"/>
      <c r="D4" s="121"/>
      <c r="E4" s="12"/>
      <c r="F4" s="128"/>
      <c r="G4" s="128"/>
    </row>
    <row r="5" spans="1:31" x14ac:dyDescent="0.25">
      <c r="A5" s="398" t="s">
        <v>151</v>
      </c>
      <c r="B5" s="399"/>
      <c r="C5" s="399"/>
      <c r="D5" s="399"/>
      <c r="E5" s="399"/>
      <c r="F5" s="399"/>
      <c r="G5" s="399"/>
      <c r="H5" s="399"/>
      <c r="I5" s="399"/>
      <c r="J5" s="399"/>
      <c r="K5" s="399"/>
      <c r="L5" s="399"/>
      <c r="M5" s="399"/>
      <c r="N5" s="399"/>
      <c r="O5" s="399"/>
      <c r="P5" s="399"/>
      <c r="Q5" s="399"/>
      <c r="R5" s="399"/>
      <c r="S5" s="399"/>
      <c r="T5" s="400"/>
    </row>
    <row r="6" spans="1:31" ht="90" x14ac:dyDescent="0.25">
      <c r="B6" s="352" t="s">
        <v>446</v>
      </c>
      <c r="C6" s="353" t="s">
        <v>446</v>
      </c>
      <c r="D6" s="334" t="s">
        <v>479</v>
      </c>
      <c r="E6" s="334" t="s">
        <v>475</v>
      </c>
      <c r="F6" s="352" t="s">
        <v>283</v>
      </c>
      <c r="G6" s="353" t="s">
        <v>284</v>
      </c>
      <c r="H6" s="353" t="s">
        <v>445</v>
      </c>
      <c r="I6" s="111" t="s">
        <v>285</v>
      </c>
      <c r="J6" s="354" t="s">
        <v>448</v>
      </c>
      <c r="K6" s="352" t="s">
        <v>447</v>
      </c>
      <c r="L6" s="353" t="s">
        <v>185</v>
      </c>
      <c r="M6" s="334" t="s">
        <v>477</v>
      </c>
      <c r="N6" s="353" t="s">
        <v>287</v>
      </c>
      <c r="O6" s="353" t="s">
        <v>288</v>
      </c>
      <c r="P6" s="354" t="s">
        <v>289</v>
      </c>
      <c r="Q6" s="335" t="s">
        <v>476</v>
      </c>
      <c r="R6" s="353" t="s">
        <v>472</v>
      </c>
      <c r="S6" s="353" t="s">
        <v>473</v>
      </c>
      <c r="T6" s="354" t="s">
        <v>474</v>
      </c>
    </row>
    <row r="7" spans="1:31" ht="30" x14ac:dyDescent="0.25">
      <c r="A7" s="352" t="s">
        <v>182</v>
      </c>
      <c r="B7" s="274">
        <v>2.9750000000000001</v>
      </c>
      <c r="C7" s="359"/>
      <c r="D7" s="25">
        <v>5.65</v>
      </c>
      <c r="E7" s="25"/>
      <c r="F7" s="20">
        <f>$E$3</f>
        <v>3.4000000000000004</v>
      </c>
      <c r="G7" s="20">
        <f>'Analisi dei Carichi Solaio VI'!J13</f>
        <v>0.97500000000000009</v>
      </c>
      <c r="H7" s="20">
        <f>'Analisi dei Carichi Solaio VI'!$J$14+'Analisi dei Carichi Solaio VI'!$J$15</f>
        <v>6.1020000000000003</v>
      </c>
      <c r="I7" s="20">
        <f>'Analisi dei Carichi Solaio VI'!$E$20</f>
        <v>2</v>
      </c>
      <c r="J7" s="20">
        <f>$G$3</f>
        <v>3.48</v>
      </c>
      <c r="K7" s="359"/>
      <c r="L7" s="359"/>
      <c r="M7" s="25"/>
      <c r="N7" s="359"/>
      <c r="O7" s="359"/>
      <c r="P7" s="359"/>
      <c r="Q7" s="25"/>
      <c r="R7" s="359"/>
      <c r="S7" s="359"/>
      <c r="T7" s="359"/>
    </row>
    <row r="8" spans="1:31" x14ac:dyDescent="0.25">
      <c r="A8" s="274" t="s">
        <v>50</v>
      </c>
      <c r="B8" s="33"/>
      <c r="C8" s="32">
        <v>2.65</v>
      </c>
      <c r="D8" s="32">
        <f>1.45</f>
        <v>1.45</v>
      </c>
      <c r="E8" s="32"/>
      <c r="F8" s="33"/>
      <c r="G8" s="33"/>
      <c r="H8" s="33"/>
      <c r="I8" s="32"/>
      <c r="J8" s="33"/>
      <c r="K8" s="32"/>
      <c r="L8" s="33"/>
      <c r="M8" s="33"/>
      <c r="N8" s="32"/>
      <c r="O8" s="32"/>
      <c r="P8" s="32"/>
      <c r="Q8" s="32">
        <f>C8*D8</f>
        <v>3.8424999999999998</v>
      </c>
      <c r="R8" s="31">
        <f>'Analisi dei Carichi Scala'!G12</f>
        <v>2.7508650519031144</v>
      </c>
      <c r="S8" s="31">
        <f>'Analisi dei Carichi Scala'!N14</f>
        <v>2.898352941176471</v>
      </c>
      <c r="T8" s="31">
        <f>'Analisi dei Carichi Scala'!E17</f>
        <v>4</v>
      </c>
    </row>
    <row r="9" spans="1:31" x14ac:dyDescent="0.25">
      <c r="A9" s="274" t="s">
        <v>51</v>
      </c>
      <c r="B9" s="32"/>
      <c r="C9" s="32">
        <v>2.65</v>
      </c>
      <c r="D9" s="32">
        <v>2.1</v>
      </c>
      <c r="E9" s="32">
        <f>(C9)*D9</f>
        <v>5.5650000000000004</v>
      </c>
      <c r="F9" s="31">
        <f t="shared" ref="F9:F12" si="0">$E$3</f>
        <v>3.4000000000000004</v>
      </c>
      <c r="G9" s="31">
        <f>$G$7</f>
        <v>0.97500000000000009</v>
      </c>
      <c r="H9" s="31"/>
      <c r="I9" s="31">
        <f>'Analisi dei Carichi Solaio VI'!$E$20</f>
        <v>2</v>
      </c>
      <c r="J9" s="31"/>
      <c r="K9" s="32"/>
      <c r="L9" s="33"/>
      <c r="M9" s="33"/>
      <c r="N9" s="32"/>
      <c r="O9" s="32"/>
      <c r="P9" s="32"/>
      <c r="Q9" s="32"/>
      <c r="R9" s="33"/>
      <c r="S9" s="33"/>
      <c r="T9" s="33"/>
    </row>
    <row r="10" spans="1:31" x14ac:dyDescent="0.25">
      <c r="A10" s="274" t="s">
        <v>52</v>
      </c>
      <c r="B10" s="357"/>
      <c r="C10" s="357">
        <v>2.65</v>
      </c>
      <c r="D10" s="357">
        <v>2.1</v>
      </c>
      <c r="E10" s="357">
        <f>(C10)*D10</f>
        <v>5.5650000000000004</v>
      </c>
      <c r="F10" s="22">
        <f t="shared" si="0"/>
        <v>3.4000000000000004</v>
      </c>
      <c r="G10" s="22">
        <f>$G$9</f>
        <v>0.97500000000000009</v>
      </c>
      <c r="H10" s="22"/>
      <c r="I10" s="22">
        <f>'Analisi dei Carichi Solaio VI'!$E$20</f>
        <v>2</v>
      </c>
      <c r="J10" s="22"/>
      <c r="K10" s="357"/>
      <c r="L10" s="34"/>
      <c r="M10" s="34"/>
      <c r="N10" s="357"/>
      <c r="O10" s="357"/>
      <c r="P10" s="357"/>
      <c r="Q10" s="357"/>
      <c r="R10" s="34"/>
      <c r="S10" s="34"/>
      <c r="T10" s="34"/>
    </row>
    <row r="11" spans="1:31" ht="30" x14ac:dyDescent="0.25">
      <c r="A11" s="237" t="s">
        <v>183</v>
      </c>
      <c r="B11" s="274">
        <v>2.75</v>
      </c>
      <c r="C11" s="84"/>
      <c r="D11" s="82">
        <v>4.05</v>
      </c>
      <c r="E11" s="274"/>
      <c r="F11" s="20">
        <f t="shared" si="0"/>
        <v>3.4000000000000004</v>
      </c>
      <c r="G11" s="22">
        <f t="shared" ref="G11:G12" si="1">$G$9</f>
        <v>0.97500000000000009</v>
      </c>
      <c r="H11" s="20">
        <f>'Analisi dei Carichi Solaio VI'!$I$14*'Analisi dei Carichi Solaio VI'!$H$14*1+'Analisi dei Carichi Solaio VI'!$I$15*'Analisi dei Carichi Solaio VI'!$H$15*1</f>
        <v>2.14</v>
      </c>
      <c r="I11" s="20">
        <f>'Analisi dei Carichi Solaio VI'!$E$20</f>
        <v>2</v>
      </c>
      <c r="J11" s="20">
        <f t="shared" ref="J11:J12" si="2">$G$3</f>
        <v>3.48</v>
      </c>
      <c r="K11" s="274">
        <f>'Analisi dei Carichi Solaio VI'!S3-A3/2</f>
        <v>1.6</v>
      </c>
      <c r="L11" s="274">
        <v>3.5</v>
      </c>
      <c r="M11" s="274">
        <f>K11*L11</f>
        <v>5.6000000000000005</v>
      </c>
      <c r="N11" s="274">
        <f>'Analisi dei Carichi Solaio VI'!O12</f>
        <v>2.6</v>
      </c>
      <c r="O11" s="274">
        <f>'Analisi dei Carichi Solaio VI'!T12</f>
        <v>0.97500000000000009</v>
      </c>
      <c r="P11" s="20">
        <f>'Analisi dei Carichi Solaio VI'!P20</f>
        <v>4</v>
      </c>
      <c r="Q11" s="84"/>
      <c r="R11" s="84"/>
      <c r="S11" s="84"/>
      <c r="T11" s="84"/>
    </row>
    <row r="12" spans="1:31" ht="30" x14ac:dyDescent="0.25">
      <c r="A12" s="237" t="s">
        <v>184</v>
      </c>
      <c r="B12" s="274">
        <v>2.9750000000000001</v>
      </c>
      <c r="C12" s="84"/>
      <c r="D12" s="274">
        <v>5.65</v>
      </c>
      <c r="E12" s="274"/>
      <c r="F12" s="20">
        <f t="shared" si="0"/>
        <v>3.4000000000000004</v>
      </c>
      <c r="G12" s="22">
        <f t="shared" si="1"/>
        <v>0.97500000000000009</v>
      </c>
      <c r="H12" s="20">
        <f>'Analisi dei Carichi Solaio VI'!$I$14*'Analisi dei Carichi Solaio VI'!$H$14*1+'Analisi dei Carichi Solaio VI'!$I$15*'Analisi dei Carichi Solaio VI'!$H$15*1</f>
        <v>2.14</v>
      </c>
      <c r="I12" s="20">
        <f>'Analisi dei Carichi Solaio VI'!$E$20</f>
        <v>2</v>
      </c>
      <c r="J12" s="20">
        <f t="shared" si="2"/>
        <v>3.48</v>
      </c>
      <c r="K12" s="274"/>
      <c r="L12" s="84"/>
      <c r="M12" s="84"/>
      <c r="N12" s="274"/>
      <c r="O12" s="274"/>
      <c r="P12" s="274"/>
      <c r="Q12" s="84"/>
      <c r="R12" s="84"/>
      <c r="S12" s="84"/>
      <c r="T12" s="84"/>
    </row>
    <row r="14" spans="1:31" ht="15" customHeight="1" x14ac:dyDescent="0.25"/>
    <row r="16" spans="1:31" x14ac:dyDescent="0.25">
      <c r="A16" s="401" t="s">
        <v>153</v>
      </c>
      <c r="B16" s="402"/>
      <c r="C16" s="402"/>
      <c r="D16" s="402"/>
      <c r="E16" s="402"/>
      <c r="F16" s="402"/>
      <c r="G16" s="402"/>
      <c r="H16" s="402"/>
      <c r="I16" s="402"/>
      <c r="J16" s="402"/>
      <c r="K16" s="402"/>
      <c r="L16" s="402"/>
      <c r="M16" s="402"/>
      <c r="N16" s="402"/>
      <c r="O16" s="402"/>
      <c r="Q16" s="390" t="s">
        <v>155</v>
      </c>
      <c r="R16" s="390"/>
      <c r="S16" s="390"/>
      <c r="T16" s="390"/>
      <c r="U16" s="390"/>
      <c r="V16" s="390"/>
      <c r="W16" s="390"/>
      <c r="X16" s="390"/>
      <c r="Y16" s="390"/>
      <c r="Z16" s="390"/>
      <c r="AA16" s="390"/>
      <c r="AB16" s="390"/>
      <c r="AC16" s="390"/>
      <c r="AD16" s="2"/>
      <c r="AE16" s="2"/>
    </row>
    <row r="17" spans="1:34" x14ac:dyDescent="0.25">
      <c r="A17" s="397" t="s">
        <v>154</v>
      </c>
      <c r="B17" s="397"/>
      <c r="C17" s="397"/>
      <c r="D17" s="397"/>
      <c r="E17" s="397"/>
      <c r="F17" s="397"/>
      <c r="G17" s="397"/>
      <c r="H17" s="397"/>
      <c r="I17" s="397"/>
      <c r="J17" s="397"/>
      <c r="K17" s="397"/>
      <c r="L17" s="397"/>
      <c r="M17" s="397"/>
      <c r="N17" s="397"/>
      <c r="O17" s="397"/>
      <c r="Q17" s="397" t="s">
        <v>154</v>
      </c>
      <c r="R17" s="397"/>
      <c r="S17" s="397"/>
      <c r="T17" s="397"/>
      <c r="U17" s="397"/>
      <c r="V17" s="397"/>
      <c r="W17" s="397"/>
      <c r="X17" s="397"/>
      <c r="Y17" s="397"/>
      <c r="Z17" s="397"/>
      <c r="AA17" s="397"/>
      <c r="AB17" s="397"/>
      <c r="AC17" s="397"/>
      <c r="AD17" s="12"/>
      <c r="AE17" s="12"/>
    </row>
    <row r="18" spans="1:34" ht="33" x14ac:dyDescent="0.25">
      <c r="A18" s="413" t="s">
        <v>182</v>
      </c>
      <c r="B18" s="54" t="s">
        <v>53</v>
      </c>
      <c r="C18" s="55" t="s">
        <v>56</v>
      </c>
      <c r="D18" s="54" t="s">
        <v>54</v>
      </c>
      <c r="E18" s="55" t="s">
        <v>57</v>
      </c>
      <c r="F18" s="54" t="s">
        <v>55</v>
      </c>
      <c r="G18" s="55" t="s">
        <v>58</v>
      </c>
      <c r="H18" s="54"/>
      <c r="I18" s="55"/>
      <c r="L18" s="54" t="s">
        <v>59</v>
      </c>
      <c r="M18" s="54" t="s">
        <v>60</v>
      </c>
      <c r="N18" s="54" t="s">
        <v>61</v>
      </c>
      <c r="O18" s="56" t="s">
        <v>62</v>
      </c>
      <c r="Q18" s="361" t="s">
        <v>182</v>
      </c>
      <c r="R18" s="54" t="s">
        <v>53</v>
      </c>
      <c r="S18" s="54" t="s">
        <v>54</v>
      </c>
      <c r="T18" s="54" t="s">
        <v>55</v>
      </c>
      <c r="U18" s="58" t="s">
        <v>63</v>
      </c>
      <c r="W18" s="55"/>
      <c r="X18" s="54"/>
      <c r="Y18" s="55"/>
      <c r="Z18" s="54" t="s">
        <v>59</v>
      </c>
      <c r="AA18" s="54" t="s">
        <v>60</v>
      </c>
      <c r="AB18" s="54" t="s">
        <v>61</v>
      </c>
      <c r="AC18" s="56" t="s">
        <v>62</v>
      </c>
    </row>
    <row r="19" spans="1:34" x14ac:dyDescent="0.25">
      <c r="A19" s="413"/>
      <c r="B19" s="131">
        <f>F7*B7+J7</f>
        <v>13.595000000000002</v>
      </c>
      <c r="C19" s="12">
        <v>1.3</v>
      </c>
      <c r="D19" s="131">
        <f>G7*B7+H7</f>
        <v>9.0026250000000001</v>
      </c>
      <c r="E19" s="12">
        <v>1.5</v>
      </c>
      <c r="F19" s="131">
        <f>I7*B7</f>
        <v>5.95</v>
      </c>
      <c r="G19" s="131">
        <v>1.5</v>
      </c>
      <c r="H19" s="131"/>
      <c r="I19" s="131"/>
      <c r="L19" s="86">
        <f>B19*C19</f>
        <v>17.673500000000004</v>
      </c>
      <c r="M19" s="86">
        <f>D19*E19</f>
        <v>13.503937499999999</v>
      </c>
      <c r="N19" s="86">
        <f>F19*G19+H19*I19</f>
        <v>8.9250000000000007</v>
      </c>
      <c r="O19" s="12">
        <f>L19+M19+N19</f>
        <v>40.102437500000008</v>
      </c>
      <c r="Q19" s="361"/>
      <c r="R19" s="131">
        <f>B19</f>
        <v>13.595000000000002</v>
      </c>
      <c r="S19" s="131">
        <f>D19</f>
        <v>9.0026250000000001</v>
      </c>
      <c r="T19" s="131">
        <f>F19</f>
        <v>5.95</v>
      </c>
      <c r="U19" s="52">
        <v>0.3</v>
      </c>
      <c r="V19" s="95"/>
      <c r="W19" s="96"/>
      <c r="X19" s="140"/>
      <c r="Y19" s="140"/>
      <c r="Z19" s="368">
        <f>R19</f>
        <v>13.595000000000002</v>
      </c>
      <c r="AA19" s="368">
        <f>S19</f>
        <v>9.0026250000000001</v>
      </c>
      <c r="AB19" s="368">
        <f>T19*U19</f>
        <v>1.7849999999999999</v>
      </c>
      <c r="AC19" s="101">
        <f>Z19+AA19+AB19</f>
        <v>24.382625000000001</v>
      </c>
    </row>
    <row r="20" spans="1:34" ht="33" x14ac:dyDescent="0.25">
      <c r="A20" s="412" t="s">
        <v>50</v>
      </c>
      <c r="B20" s="54" t="s">
        <v>53</v>
      </c>
      <c r="C20" s="55" t="s">
        <v>56</v>
      </c>
      <c r="D20" s="54" t="s">
        <v>54</v>
      </c>
      <c r="E20" s="55" t="s">
        <v>57</v>
      </c>
      <c r="F20" s="54" t="s">
        <v>55</v>
      </c>
      <c r="G20" s="55" t="s">
        <v>58</v>
      </c>
      <c r="H20" s="54" t="s">
        <v>136</v>
      </c>
      <c r="I20" s="55" t="s">
        <v>142</v>
      </c>
      <c r="J20" s="54" t="s">
        <v>481</v>
      </c>
      <c r="K20" s="55" t="s">
        <v>480</v>
      </c>
      <c r="L20" s="54" t="s">
        <v>59</v>
      </c>
      <c r="M20" s="54" t="s">
        <v>60</v>
      </c>
      <c r="N20" s="54" t="s">
        <v>61</v>
      </c>
      <c r="O20" s="56" t="s">
        <v>62</v>
      </c>
      <c r="Q20" s="412" t="s">
        <v>50</v>
      </c>
      <c r="R20" s="54" t="s">
        <v>53</v>
      </c>
      <c r="S20" s="54" t="s">
        <v>54</v>
      </c>
      <c r="T20" s="54" t="s">
        <v>55</v>
      </c>
      <c r="U20" s="58" t="s">
        <v>63</v>
      </c>
      <c r="V20" s="54" t="s">
        <v>136</v>
      </c>
      <c r="W20" s="58" t="s">
        <v>139</v>
      </c>
      <c r="X20" s="54" t="s">
        <v>481</v>
      </c>
      <c r="Y20" s="58" t="s">
        <v>482</v>
      </c>
      <c r="Z20" s="54" t="s">
        <v>59</v>
      </c>
      <c r="AA20" s="54" t="s">
        <v>60</v>
      </c>
      <c r="AB20" s="54" t="s">
        <v>61</v>
      </c>
      <c r="AC20" s="56" t="s">
        <v>62</v>
      </c>
    </row>
    <row r="21" spans="1:34" x14ac:dyDescent="0.25">
      <c r="A21" s="412"/>
      <c r="B21" s="86">
        <f>($N$8*$M$8/($D$8+$D$9+$D$10))+($R$8*$Q$8/($D$8+$D$9+$D$10))</f>
        <v>1.8708316746792417</v>
      </c>
      <c r="C21" s="86">
        <v>1.3</v>
      </c>
      <c r="D21" s="86">
        <f>($O$8*$M$8/($D$8+$D$9+$D$10))+($S$8*$Q$8/($D$8+$D$9+$D$10))</f>
        <v>1.9711364914107239</v>
      </c>
      <c r="E21" s="86">
        <v>1.5</v>
      </c>
      <c r="F21" s="358">
        <f>I8*E8/(D8+D9+D10)</f>
        <v>0</v>
      </c>
      <c r="G21" s="86">
        <v>1.5</v>
      </c>
      <c r="H21" s="86">
        <f>P8*M8/(D8+D9+D10)</f>
        <v>0</v>
      </c>
      <c r="I21" s="358">
        <v>1.5</v>
      </c>
      <c r="J21" s="131">
        <f>T8*Q8/(D8+D9+D10)</f>
        <v>2.7203539823008844</v>
      </c>
      <c r="K21" s="86">
        <v>1.5</v>
      </c>
      <c r="L21" s="86">
        <f>B21*C21</f>
        <v>2.4320811770830142</v>
      </c>
      <c r="M21" s="86">
        <f>D21*E21</f>
        <v>2.9567047371160857</v>
      </c>
      <c r="N21" s="86">
        <f>F21*G21+H21*I21+J21*K21</f>
        <v>4.0805309734513262</v>
      </c>
      <c r="O21" s="12">
        <f>L21+M21+N21</f>
        <v>9.4693168876504252</v>
      </c>
      <c r="Q21" s="412"/>
      <c r="R21" s="86">
        <f>B21</f>
        <v>1.8708316746792417</v>
      </c>
      <c r="S21" s="86">
        <f>D21</f>
        <v>1.9711364914107239</v>
      </c>
      <c r="T21" s="86">
        <f>F21</f>
        <v>0</v>
      </c>
      <c r="U21" s="86">
        <v>0.3</v>
      </c>
      <c r="V21" s="86">
        <f>H21</f>
        <v>0</v>
      </c>
      <c r="W21" s="86">
        <v>0.3</v>
      </c>
      <c r="X21" s="41">
        <f>J21</f>
        <v>2.7203539823008844</v>
      </c>
      <c r="Y21" s="358">
        <v>0.3</v>
      </c>
      <c r="Z21" s="86">
        <f>R21</f>
        <v>1.8708316746792417</v>
      </c>
      <c r="AA21" s="86">
        <f>S21</f>
        <v>1.9711364914107239</v>
      </c>
      <c r="AB21" s="86">
        <f>T21*U21+V21*W21+X21*Y21</f>
        <v>0.81610619469026535</v>
      </c>
      <c r="AC21" s="12">
        <f>Z21+AA21+AB21</f>
        <v>4.6580743607802306</v>
      </c>
    </row>
    <row r="22" spans="1:34" ht="33" x14ac:dyDescent="0.25">
      <c r="A22" s="412" t="s">
        <v>51</v>
      </c>
      <c r="B22" s="73" t="s">
        <v>53</v>
      </c>
      <c r="C22" s="85" t="s">
        <v>56</v>
      </c>
      <c r="D22" s="73" t="s">
        <v>54</v>
      </c>
      <c r="E22" s="85" t="s">
        <v>57</v>
      </c>
      <c r="F22" s="73" t="s">
        <v>55</v>
      </c>
      <c r="G22" s="85" t="s">
        <v>58</v>
      </c>
      <c r="H22" s="73" t="s">
        <v>136</v>
      </c>
      <c r="I22" s="85" t="s">
        <v>142</v>
      </c>
      <c r="J22" s="73" t="s">
        <v>481</v>
      </c>
      <c r="K22" s="85" t="s">
        <v>480</v>
      </c>
      <c r="L22" s="73" t="s">
        <v>59</v>
      </c>
      <c r="M22" s="73" t="s">
        <v>60</v>
      </c>
      <c r="N22" s="73" t="s">
        <v>61</v>
      </c>
      <c r="O22" s="56" t="s">
        <v>62</v>
      </c>
      <c r="Q22" s="412" t="s">
        <v>51</v>
      </c>
      <c r="R22" s="73" t="s">
        <v>53</v>
      </c>
      <c r="S22" s="73" t="s">
        <v>54</v>
      </c>
      <c r="T22" s="54" t="s">
        <v>55</v>
      </c>
      <c r="U22" s="58" t="s">
        <v>63</v>
      </c>
      <c r="V22" s="54" t="s">
        <v>136</v>
      </c>
      <c r="W22" s="58" t="s">
        <v>139</v>
      </c>
      <c r="X22" s="54" t="s">
        <v>481</v>
      </c>
      <c r="Y22" s="58" t="s">
        <v>482</v>
      </c>
      <c r="Z22" s="54" t="s">
        <v>59</v>
      </c>
      <c r="AA22" s="54" t="s">
        <v>60</v>
      </c>
      <c r="AB22" s="54" t="s">
        <v>61</v>
      </c>
      <c r="AC22" s="56" t="s">
        <v>62</v>
      </c>
    </row>
    <row r="23" spans="1:34" x14ac:dyDescent="0.25">
      <c r="A23" s="412"/>
      <c r="B23" s="86">
        <f>($F$9*$E$9/($D$8+$D$9+$D$10))+($N$9*$M$9/($D$8+$D$9+$D$10))+(R9*$Q$9/($D$8+$D$9+$D$10))</f>
        <v>3.348849557522124</v>
      </c>
      <c r="C23" s="86">
        <v>1.3</v>
      </c>
      <c r="D23" s="86">
        <f>$G$9*($E$9/($D$8+$D$9+$D$10))+($O$9*$M$9/($D$8+$D$9+$D$10))+($R$9*$Q$9/($D$8+$D$9+$D$10))</f>
        <v>0.9603318584070798</v>
      </c>
      <c r="E23" s="86">
        <v>1.5</v>
      </c>
      <c r="F23" s="86">
        <f>I9*E9/(D8+D9+D10)</f>
        <v>1.9699115044247788</v>
      </c>
      <c r="G23" s="86">
        <v>1.5</v>
      </c>
      <c r="H23" s="12">
        <f>P9*M9/(D8+D9+D10)</f>
        <v>0</v>
      </c>
      <c r="I23" s="358">
        <v>1.5</v>
      </c>
      <c r="J23" s="86">
        <f>S9*Q9/(D8+D9+D10)</f>
        <v>0</v>
      </c>
      <c r="K23" s="86">
        <v>1.5</v>
      </c>
      <c r="L23" s="86">
        <f>B23*C23</f>
        <v>4.3535044247787615</v>
      </c>
      <c r="M23" s="86">
        <f>D23*E23</f>
        <v>1.4404977876106198</v>
      </c>
      <c r="N23" s="86">
        <f>J23*G23+F23*K23+H23*I23</f>
        <v>2.9548672566371681</v>
      </c>
      <c r="O23" s="12">
        <f>L23+M23+N23</f>
        <v>8.74886946902655</v>
      </c>
      <c r="Q23" s="412"/>
      <c r="R23" s="86">
        <f>B23</f>
        <v>3.348849557522124</v>
      </c>
      <c r="S23" s="86">
        <f>D23</f>
        <v>0.9603318584070798</v>
      </c>
      <c r="T23" s="86">
        <f>F23</f>
        <v>1.9699115044247788</v>
      </c>
      <c r="U23" s="86">
        <v>0.3</v>
      </c>
      <c r="V23" s="86">
        <f>H23</f>
        <v>0</v>
      </c>
      <c r="W23" s="86">
        <v>0.3</v>
      </c>
      <c r="X23" s="41">
        <f>J23</f>
        <v>0</v>
      </c>
      <c r="Y23" s="358">
        <v>0.3</v>
      </c>
      <c r="Z23" s="86">
        <f>R23</f>
        <v>3.348849557522124</v>
      </c>
      <c r="AA23" s="86">
        <f>S23</f>
        <v>0.9603318584070798</v>
      </c>
      <c r="AB23" s="86">
        <f>T23*U23+V23*W23+X23*Y23</f>
        <v>0.59097345132743362</v>
      </c>
      <c r="AC23" s="12">
        <f>Z23+AA23+AB23</f>
        <v>4.9001548672566368</v>
      </c>
    </row>
    <row r="24" spans="1:34" ht="15" customHeight="1" x14ac:dyDescent="0.25">
      <c r="A24" s="412" t="s">
        <v>52</v>
      </c>
      <c r="B24" s="73" t="s">
        <v>53</v>
      </c>
      <c r="C24" s="85" t="s">
        <v>56</v>
      </c>
      <c r="D24" s="73" t="s">
        <v>54</v>
      </c>
      <c r="E24" s="85" t="s">
        <v>57</v>
      </c>
      <c r="F24" s="73" t="s">
        <v>55</v>
      </c>
      <c r="G24" s="85" t="s">
        <v>58</v>
      </c>
      <c r="H24" s="367" t="s">
        <v>136</v>
      </c>
      <c r="I24" s="85" t="s">
        <v>142</v>
      </c>
      <c r="J24" s="73" t="s">
        <v>481</v>
      </c>
      <c r="K24" s="85" t="s">
        <v>480</v>
      </c>
      <c r="L24" s="73" t="s">
        <v>59</v>
      </c>
      <c r="M24" s="73" t="s">
        <v>60</v>
      </c>
      <c r="N24" s="73" t="s">
        <v>61</v>
      </c>
      <c r="O24" s="56" t="s">
        <v>62</v>
      </c>
      <c r="Q24" s="412" t="s">
        <v>52</v>
      </c>
      <c r="R24" s="73" t="s">
        <v>53</v>
      </c>
      <c r="S24" s="73" t="s">
        <v>54</v>
      </c>
      <c r="T24" s="54" t="s">
        <v>55</v>
      </c>
      <c r="U24" s="58" t="s">
        <v>63</v>
      </c>
      <c r="V24" s="54" t="s">
        <v>136</v>
      </c>
      <c r="W24" s="58" t="s">
        <v>139</v>
      </c>
      <c r="X24" s="54" t="s">
        <v>481</v>
      </c>
      <c r="Y24" s="58" t="s">
        <v>482</v>
      </c>
      <c r="Z24" s="54" t="s">
        <v>59</v>
      </c>
      <c r="AA24" s="54" t="s">
        <v>60</v>
      </c>
      <c r="AB24" s="54" t="s">
        <v>61</v>
      </c>
      <c r="AC24" s="56" t="s">
        <v>62</v>
      </c>
    </row>
    <row r="25" spans="1:34" x14ac:dyDescent="0.25">
      <c r="A25" s="412"/>
      <c r="B25" s="86">
        <f>($F$10*$E$10/($D$8+$D$9+$D$10))+($N$10*$M$10/($D$8+$D$9+$D$10))+(R10*$Q$10/($D$8+$D$9+$D$10))</f>
        <v>3.348849557522124</v>
      </c>
      <c r="C25" s="86">
        <v>1.3</v>
      </c>
      <c r="D25" s="86">
        <f>$G$10*($E$10/($D$8+$D$9+$D$10))+($O$10*$M$10/($D$8+$D$9+$D$10))+($R$10*$Q$10/($D$8+$D$9+$D$10))</f>
        <v>0.9603318584070798</v>
      </c>
      <c r="E25" s="86">
        <v>1.5</v>
      </c>
      <c r="F25" s="86">
        <f>I10*E10/(D8+D9+D10)</f>
        <v>1.9699115044247788</v>
      </c>
      <c r="G25" s="86">
        <v>1.5</v>
      </c>
      <c r="H25" s="12">
        <f>P10*M10/(D8+D9+D10)</f>
        <v>0</v>
      </c>
      <c r="I25" s="364">
        <v>1.5</v>
      </c>
      <c r="J25" s="86">
        <f>S10*Q10/(D8+D9+D10)</f>
        <v>0</v>
      </c>
      <c r="K25" s="86">
        <v>1.5</v>
      </c>
      <c r="L25" s="86">
        <f>B25*C25</f>
        <v>4.3535044247787615</v>
      </c>
      <c r="M25" s="86">
        <f>D25*E25</f>
        <v>1.4404977876106198</v>
      </c>
      <c r="N25" s="86">
        <f>J25*G25+F25*K25+H25*I25</f>
        <v>2.9548672566371681</v>
      </c>
      <c r="O25" s="12">
        <f>L25+M25+N25</f>
        <v>8.74886946902655</v>
      </c>
      <c r="Q25" s="412"/>
      <c r="R25" s="86">
        <f>B25</f>
        <v>3.348849557522124</v>
      </c>
      <c r="S25" s="86">
        <f>D25</f>
        <v>0.9603318584070798</v>
      </c>
      <c r="T25" s="86">
        <f>F25</f>
        <v>1.9699115044247788</v>
      </c>
      <c r="U25" s="86">
        <v>0.3</v>
      </c>
      <c r="V25" s="86">
        <f>H25</f>
        <v>0</v>
      </c>
      <c r="W25" s="86">
        <v>0.3</v>
      </c>
      <c r="X25" s="41">
        <f>J25</f>
        <v>0</v>
      </c>
      <c r="Y25" s="358">
        <v>0.3</v>
      </c>
      <c r="Z25" s="86">
        <f>R25</f>
        <v>3.348849557522124</v>
      </c>
      <c r="AA25" s="86">
        <f>S25</f>
        <v>0.9603318584070798</v>
      </c>
      <c r="AB25" s="86">
        <f>T25*U25+V25*W25+X25*Y25</f>
        <v>0.59097345132743362</v>
      </c>
      <c r="AC25" s="12">
        <f>Z25+AA25+AB25</f>
        <v>4.9001548672566368</v>
      </c>
    </row>
    <row r="26" spans="1:34" x14ac:dyDescent="0.25">
      <c r="A26" s="355"/>
      <c r="B26" s="86"/>
      <c r="C26" s="86"/>
      <c r="D26" s="86"/>
      <c r="E26" s="86"/>
      <c r="F26" s="86"/>
      <c r="G26" s="86"/>
      <c r="H26" s="358"/>
      <c r="I26" s="364"/>
      <c r="J26" s="86"/>
      <c r="K26" s="86"/>
      <c r="L26" s="86"/>
      <c r="M26" s="101"/>
      <c r="N26" s="101" t="s">
        <v>33</v>
      </c>
      <c r="O26" s="12">
        <f>O19+O21+O23+O25</f>
        <v>67.069493325703533</v>
      </c>
      <c r="Q26" s="355"/>
      <c r="R26" s="86"/>
      <c r="S26" s="86"/>
      <c r="T26" s="131"/>
      <c r="U26" s="86"/>
      <c r="V26" s="131"/>
      <c r="W26" s="86"/>
      <c r="Y26" s="358"/>
      <c r="AB26" s="131" t="s">
        <v>33</v>
      </c>
      <c r="AC26" s="131">
        <f>AC19+AC21+AC23+AC25</f>
        <v>38.841009095293508</v>
      </c>
      <c r="AD26" s="152"/>
      <c r="AE26" s="152"/>
    </row>
    <row r="27" spans="1:34" ht="33" x14ac:dyDescent="0.25">
      <c r="A27" s="413" t="s">
        <v>183</v>
      </c>
      <c r="B27" s="73" t="s">
        <v>53</v>
      </c>
      <c r="C27" s="85" t="s">
        <v>56</v>
      </c>
      <c r="D27" s="73" t="s">
        <v>54</v>
      </c>
      <c r="E27" s="85" t="s">
        <v>57</v>
      </c>
      <c r="F27" s="73" t="s">
        <v>55</v>
      </c>
      <c r="G27" s="85" t="s">
        <v>58</v>
      </c>
      <c r="H27" s="73" t="s">
        <v>136</v>
      </c>
      <c r="I27" s="85" t="s">
        <v>142</v>
      </c>
      <c r="J27" s="73" t="s">
        <v>481</v>
      </c>
      <c r="K27" s="85" t="s">
        <v>480</v>
      </c>
      <c r="L27" s="73" t="s">
        <v>59</v>
      </c>
      <c r="M27" s="73" t="s">
        <v>60</v>
      </c>
      <c r="N27" s="73" t="s">
        <v>61</v>
      </c>
      <c r="O27" s="56" t="s">
        <v>62</v>
      </c>
      <c r="Q27" s="413" t="s">
        <v>183</v>
      </c>
      <c r="R27" s="73" t="s">
        <v>53</v>
      </c>
      <c r="S27" s="73" t="s">
        <v>54</v>
      </c>
      <c r="T27" s="54" t="s">
        <v>55</v>
      </c>
      <c r="U27" s="58" t="s">
        <v>63</v>
      </c>
      <c r="V27" s="54" t="s">
        <v>136</v>
      </c>
      <c r="W27" s="58" t="s">
        <v>139</v>
      </c>
      <c r="X27" s="54" t="s">
        <v>481</v>
      </c>
      <c r="Y27" s="58" t="s">
        <v>482</v>
      </c>
      <c r="Z27" s="54" t="s">
        <v>59</v>
      </c>
      <c r="AA27" s="54" t="s">
        <v>60</v>
      </c>
      <c r="AB27" s="54" t="s">
        <v>61</v>
      </c>
      <c r="AC27" s="56" t="s">
        <v>62</v>
      </c>
      <c r="AD27" s="86"/>
      <c r="AE27" s="86"/>
      <c r="AF27" s="12"/>
      <c r="AG27" s="12"/>
      <c r="AH27" s="12"/>
    </row>
    <row r="28" spans="1:34" x14ac:dyDescent="0.25">
      <c r="A28" s="413"/>
      <c r="B28" s="86">
        <f>F11*B11+J11+N11*M11/(D11)+Q11*R11/D11</f>
        <v>16.425061728395065</v>
      </c>
      <c r="C28" s="86">
        <v>1.3</v>
      </c>
      <c r="D28" s="86">
        <f>G11*B11+H11+O11*M11/D11+R11*Q11/D11</f>
        <v>6.169398148148149</v>
      </c>
      <c r="E28" s="86">
        <v>1.5</v>
      </c>
      <c r="F28" s="86">
        <f>I11*B11</f>
        <v>5.5</v>
      </c>
      <c r="G28" s="86">
        <v>1.5</v>
      </c>
      <c r="H28" s="86">
        <f>P11*M11/D11</f>
        <v>5.5308641975308648</v>
      </c>
      <c r="I28" s="86">
        <v>1.5</v>
      </c>
      <c r="J28" s="358">
        <f>T11*Q11/D11</f>
        <v>0</v>
      </c>
      <c r="K28" s="358">
        <v>1.5</v>
      </c>
      <c r="L28" s="86">
        <f>B28*C28</f>
        <v>21.352580246913586</v>
      </c>
      <c r="M28" s="86">
        <f>D28*E28</f>
        <v>9.2540972222222244</v>
      </c>
      <c r="N28" s="86">
        <f>F28*G28+H28*I28+J28*K28</f>
        <v>16.546296296296298</v>
      </c>
      <c r="O28" s="12">
        <f>L28+M28+N28</f>
        <v>47.152973765432108</v>
      </c>
      <c r="Q28" s="413"/>
      <c r="R28" s="86">
        <f>B28</f>
        <v>16.425061728395065</v>
      </c>
      <c r="S28" s="86">
        <f>D28</f>
        <v>6.169398148148149</v>
      </c>
      <c r="T28" s="86">
        <f>F28</f>
        <v>5.5</v>
      </c>
      <c r="U28" s="86">
        <v>0.3</v>
      </c>
      <c r="V28" s="86">
        <f>I11*B11</f>
        <v>5.5</v>
      </c>
      <c r="W28" s="86">
        <v>0.3</v>
      </c>
      <c r="X28" s="54">
        <f>J28</f>
        <v>0</v>
      </c>
      <c r="Y28" s="58">
        <v>0.3</v>
      </c>
      <c r="Z28" s="86">
        <f>R28</f>
        <v>16.425061728395065</v>
      </c>
      <c r="AA28" s="86">
        <f>S28</f>
        <v>6.169398148148149</v>
      </c>
      <c r="AB28" s="86">
        <f>T28*U28+V28*W28+X28*Y28</f>
        <v>3.3</v>
      </c>
      <c r="AC28" s="12">
        <f>Z28+AA28+AB28</f>
        <v>25.894459876543213</v>
      </c>
      <c r="AD28" s="54"/>
      <c r="AE28" s="54"/>
      <c r="AF28" s="56"/>
    </row>
    <row r="29" spans="1:34" ht="33" x14ac:dyDescent="0.25">
      <c r="A29" s="413" t="s">
        <v>184</v>
      </c>
      <c r="B29" s="73" t="s">
        <v>53</v>
      </c>
      <c r="C29" s="85" t="s">
        <v>56</v>
      </c>
      <c r="D29" s="73" t="s">
        <v>54</v>
      </c>
      <c r="E29" s="85" t="s">
        <v>57</v>
      </c>
      <c r="F29" s="73" t="s">
        <v>55</v>
      </c>
      <c r="G29" s="85" t="s">
        <v>58</v>
      </c>
      <c r="H29" s="73" t="s">
        <v>136</v>
      </c>
      <c r="I29" s="85" t="s">
        <v>142</v>
      </c>
      <c r="J29" s="73" t="s">
        <v>481</v>
      </c>
      <c r="K29" s="85" t="s">
        <v>480</v>
      </c>
      <c r="L29" s="73" t="s">
        <v>59</v>
      </c>
      <c r="M29" s="73" t="s">
        <v>60</v>
      </c>
      <c r="N29" s="73" t="s">
        <v>61</v>
      </c>
      <c r="O29" s="56" t="s">
        <v>62</v>
      </c>
      <c r="Q29" s="413" t="s">
        <v>184</v>
      </c>
      <c r="R29" s="73" t="s">
        <v>53</v>
      </c>
      <c r="S29" s="73" t="s">
        <v>54</v>
      </c>
      <c r="T29" s="54" t="s">
        <v>55</v>
      </c>
      <c r="U29" s="58" t="s">
        <v>63</v>
      </c>
      <c r="V29" s="54" t="s">
        <v>136</v>
      </c>
      <c r="W29" s="58" t="s">
        <v>139</v>
      </c>
      <c r="X29" s="54" t="s">
        <v>481</v>
      </c>
      <c r="Y29" s="58" t="s">
        <v>482</v>
      </c>
      <c r="Z29" s="54" t="s">
        <v>59</v>
      </c>
      <c r="AA29" s="54" t="s">
        <v>60</v>
      </c>
      <c r="AB29" s="54" t="s">
        <v>61</v>
      </c>
      <c r="AC29" s="56" t="s">
        <v>62</v>
      </c>
      <c r="AD29" s="86"/>
      <c r="AE29" s="86"/>
      <c r="AF29" s="12"/>
    </row>
    <row r="30" spans="1:34" x14ac:dyDescent="0.25">
      <c r="A30" s="414"/>
      <c r="B30" s="86">
        <f>F12*B12+J12+N12*M12/(D12+R12*Q12/D12)</f>
        <v>13.595000000000002</v>
      </c>
      <c r="C30" s="86">
        <v>1.3</v>
      </c>
      <c r="D30" s="86">
        <f>G12*B12+H12+O12*M12/D12+S12*Q12/D12</f>
        <v>5.0406250000000004</v>
      </c>
      <c r="E30" s="86">
        <v>1.5</v>
      </c>
      <c r="F30" s="86">
        <f>I12*B12</f>
        <v>5.95</v>
      </c>
      <c r="G30" s="86">
        <v>1.5</v>
      </c>
      <c r="H30" s="86">
        <f>P12*M12/D12</f>
        <v>0</v>
      </c>
      <c r="I30" s="86">
        <v>1.5</v>
      </c>
      <c r="J30" s="358">
        <f>T12*Q12/D12</f>
        <v>0</v>
      </c>
      <c r="K30" s="358">
        <v>1.5</v>
      </c>
      <c r="L30" s="86">
        <f>B30*C30</f>
        <v>17.673500000000004</v>
      </c>
      <c r="M30" s="86">
        <f>D30*E30</f>
        <v>7.5609375000000005</v>
      </c>
      <c r="N30" s="86">
        <f>F30*G30+H30*I30+J30*K30</f>
        <v>8.9250000000000007</v>
      </c>
      <c r="O30" s="12">
        <f>L30+M30+N30</f>
        <v>34.15943750000001</v>
      </c>
      <c r="Q30" s="414"/>
      <c r="R30" s="86">
        <f>B30</f>
        <v>13.595000000000002</v>
      </c>
      <c r="S30" s="86">
        <f>D30</f>
        <v>5.0406250000000004</v>
      </c>
      <c r="T30" s="86">
        <f>F30</f>
        <v>5.95</v>
      </c>
      <c r="U30" s="86">
        <v>0.3</v>
      </c>
      <c r="V30" s="86">
        <f>P12*K12</f>
        <v>0</v>
      </c>
      <c r="W30" s="86">
        <v>0.3</v>
      </c>
      <c r="X30" s="358">
        <f>J30</f>
        <v>0</v>
      </c>
      <c r="Y30" s="358">
        <v>0.3</v>
      </c>
      <c r="Z30" s="86">
        <f>R30</f>
        <v>13.595000000000002</v>
      </c>
      <c r="AA30" s="86">
        <f>S30</f>
        <v>5.0406250000000004</v>
      </c>
      <c r="AB30" s="86">
        <f>T30*U30+V30*W30+X30*Y30</f>
        <v>1.7849999999999999</v>
      </c>
      <c r="AC30" s="12">
        <f>Z30+AA30+AB30</f>
        <v>20.420625000000005</v>
      </c>
      <c r="AD30" s="54"/>
      <c r="AE30" s="54"/>
      <c r="AF30" s="56"/>
    </row>
    <row r="31" spans="1:34" x14ac:dyDescent="0.25">
      <c r="S31" s="59"/>
      <c r="T31" s="86"/>
      <c r="U31" s="86"/>
      <c r="V31" s="86"/>
      <c r="W31" s="86"/>
      <c r="X31" s="86"/>
      <c r="Y31" s="86"/>
      <c r="Z31" s="86"/>
      <c r="AA31" s="86"/>
      <c r="AB31" s="86"/>
      <c r="AC31" s="86"/>
      <c r="AD31" s="86"/>
      <c r="AE31" s="86"/>
      <c r="AF31" s="12"/>
    </row>
    <row r="32" spans="1:34" ht="18.75" x14ac:dyDescent="0.25">
      <c r="S32" s="213"/>
      <c r="T32" s="73"/>
      <c r="U32" s="55"/>
      <c r="V32" s="73"/>
      <c r="W32" s="55"/>
      <c r="X32" s="54"/>
      <c r="Y32" s="58"/>
      <c r="Z32" s="54"/>
      <c r="AA32" s="55"/>
      <c r="AB32" s="58"/>
      <c r="AC32" s="54"/>
      <c r="AD32" s="54"/>
      <c r="AE32" s="54"/>
      <c r="AF32" s="56"/>
    </row>
    <row r="33" spans="15:34" x14ac:dyDescent="0.25">
      <c r="S33" s="213"/>
      <c r="T33" s="86"/>
      <c r="U33" s="86"/>
      <c r="V33" s="86"/>
      <c r="W33" s="86"/>
      <c r="X33" s="86"/>
      <c r="Y33" s="86"/>
      <c r="Z33" s="86"/>
      <c r="AA33" s="86"/>
      <c r="AB33" s="86"/>
      <c r="AC33" s="86"/>
      <c r="AD33" s="86"/>
      <c r="AE33" s="86"/>
      <c r="AF33" s="12"/>
    </row>
    <row r="34" spans="15:34" ht="18.75" x14ac:dyDescent="0.25">
      <c r="S34" s="59"/>
      <c r="T34" s="73"/>
      <c r="U34" s="55"/>
      <c r="V34" s="73"/>
      <c r="W34" s="55"/>
      <c r="X34" s="54"/>
      <c r="Y34" s="58"/>
      <c r="Z34" s="54"/>
      <c r="AA34" s="55"/>
      <c r="AB34" s="58"/>
      <c r="AC34" s="54"/>
      <c r="AD34" s="54"/>
      <c r="AE34" s="54"/>
      <c r="AF34" s="56"/>
    </row>
    <row r="35" spans="15:34" x14ac:dyDescent="0.25">
      <c r="S35" s="59"/>
      <c r="T35" s="86"/>
      <c r="U35" s="86"/>
      <c r="V35" s="86"/>
      <c r="W35" s="86"/>
      <c r="X35" s="86"/>
      <c r="Y35" s="86"/>
      <c r="Z35" s="86"/>
      <c r="AA35" s="86"/>
      <c r="AB35" s="86"/>
      <c r="AC35" s="86"/>
      <c r="AD35" s="86"/>
      <c r="AE35" s="86"/>
      <c r="AF35" s="12"/>
    </row>
    <row r="36" spans="15:34" x14ac:dyDescent="0.25">
      <c r="S36" s="59"/>
      <c r="T36" s="86"/>
      <c r="U36" s="86"/>
      <c r="V36" s="86"/>
      <c r="W36" s="86"/>
      <c r="X36" s="86"/>
      <c r="Y36" s="86"/>
      <c r="Z36" s="86"/>
      <c r="AA36" s="86"/>
      <c r="AB36" s="86"/>
      <c r="AC36" s="86"/>
      <c r="AD36" s="86"/>
      <c r="AE36" s="86"/>
      <c r="AF36" s="12"/>
      <c r="AG36" s="12"/>
      <c r="AH36" s="12"/>
    </row>
    <row r="37" spans="15:34" ht="15" customHeight="1" x14ac:dyDescent="0.25">
      <c r="S37" s="59"/>
      <c r="T37" s="73"/>
      <c r="U37" s="55"/>
      <c r="V37" s="73"/>
      <c r="W37" s="55"/>
      <c r="X37" s="54"/>
      <c r="Y37" s="58"/>
      <c r="Z37" s="54"/>
      <c r="AA37" s="55"/>
      <c r="AB37" s="58"/>
      <c r="AC37" s="54"/>
      <c r="AD37" s="54"/>
      <c r="AE37" s="54"/>
      <c r="AF37" s="56"/>
    </row>
    <row r="38" spans="15:34" x14ac:dyDescent="0.25">
      <c r="O38" s="52"/>
      <c r="P38" s="52"/>
      <c r="S38" s="2"/>
      <c r="T38" s="96"/>
      <c r="U38" s="96"/>
      <c r="V38" s="96"/>
      <c r="W38" s="96"/>
      <c r="X38" s="96"/>
      <c r="Y38" s="96"/>
      <c r="Z38" s="96"/>
      <c r="AA38" s="96"/>
      <c r="AB38" s="96"/>
      <c r="AC38" s="96"/>
      <c r="AD38" s="96"/>
      <c r="AE38" s="96"/>
      <c r="AF38" s="94"/>
      <c r="AG38" s="52"/>
      <c r="AH38" s="52"/>
    </row>
    <row r="39" spans="15:34" ht="18.75" x14ac:dyDescent="0.25">
      <c r="O39" s="2"/>
      <c r="P39" s="2"/>
      <c r="S39" s="59"/>
      <c r="T39" s="54"/>
      <c r="U39" s="55"/>
      <c r="V39" s="54"/>
      <c r="W39" s="55"/>
      <c r="X39" s="54"/>
      <c r="Y39" s="58"/>
      <c r="Z39" s="54"/>
      <c r="AA39" s="55"/>
      <c r="AB39" s="58"/>
      <c r="AC39" s="54"/>
      <c r="AD39" s="54"/>
      <c r="AE39" s="54"/>
      <c r="AF39" s="56"/>
      <c r="AG39" s="2"/>
      <c r="AH39" s="2"/>
    </row>
    <row r="40" spans="15:34" x14ac:dyDescent="0.25">
      <c r="O40" s="12"/>
      <c r="P40" s="12"/>
      <c r="S40" s="59"/>
      <c r="T40" s="86"/>
      <c r="U40" s="86"/>
      <c r="V40" s="86"/>
      <c r="W40" s="86"/>
      <c r="X40" s="86"/>
      <c r="Y40" s="86"/>
      <c r="Z40" s="86"/>
      <c r="AA40" s="86"/>
      <c r="AB40" s="86"/>
      <c r="AC40" s="86"/>
      <c r="AD40" s="86"/>
      <c r="AE40" s="86"/>
      <c r="AF40" s="12"/>
      <c r="AG40" s="12"/>
      <c r="AH40" s="12"/>
    </row>
    <row r="41" spans="15:34" ht="18.75" x14ac:dyDescent="0.25">
      <c r="S41" s="59"/>
      <c r="T41" s="73"/>
      <c r="U41" s="55"/>
      <c r="V41" s="73"/>
      <c r="W41" s="55"/>
      <c r="X41" s="54"/>
      <c r="Y41" s="58"/>
      <c r="Z41" s="54"/>
      <c r="AA41" s="55"/>
      <c r="AB41" s="58"/>
      <c r="AC41" s="54"/>
      <c r="AD41" s="54"/>
      <c r="AE41" s="54"/>
      <c r="AF41" s="56"/>
    </row>
    <row r="42" spans="15:34" x14ac:dyDescent="0.25">
      <c r="S42" s="59"/>
      <c r="T42" s="86"/>
      <c r="U42" s="86"/>
      <c r="V42" s="86"/>
      <c r="W42" s="86"/>
      <c r="X42" s="86"/>
      <c r="Y42" s="86"/>
      <c r="Z42" s="86"/>
      <c r="AA42" s="86"/>
      <c r="AB42" s="86"/>
      <c r="AC42" s="86"/>
      <c r="AD42" s="86"/>
      <c r="AE42" s="86"/>
      <c r="AF42" s="12"/>
    </row>
    <row r="43" spans="15:34" ht="18.75" x14ac:dyDescent="0.25">
      <c r="S43" s="59"/>
      <c r="T43" s="73"/>
      <c r="U43" s="55"/>
      <c r="V43" s="73"/>
      <c r="W43" s="55"/>
      <c r="X43" s="54"/>
      <c r="Y43" s="58"/>
      <c r="Z43" s="54"/>
      <c r="AA43" s="55"/>
      <c r="AB43" s="58"/>
      <c r="AC43" s="54"/>
      <c r="AD43" s="54"/>
      <c r="AE43" s="54"/>
      <c r="AF43" s="56"/>
    </row>
    <row r="44" spans="15:34" x14ac:dyDescent="0.25">
      <c r="S44" s="59"/>
      <c r="T44" s="86"/>
      <c r="U44" s="86"/>
      <c r="V44" s="86"/>
      <c r="W44" s="86"/>
      <c r="X44" s="86"/>
      <c r="Y44" s="86"/>
      <c r="Z44" s="86"/>
      <c r="AA44" s="86"/>
      <c r="AB44" s="86"/>
      <c r="AC44" s="86"/>
      <c r="AD44" s="86"/>
      <c r="AE44" s="86"/>
      <c r="AF44" s="12"/>
    </row>
    <row r="45" spans="15:34" ht="18.75" x14ac:dyDescent="0.25">
      <c r="S45" s="213"/>
      <c r="T45" s="73"/>
      <c r="U45" s="55"/>
      <c r="V45" s="73"/>
      <c r="W45" s="55"/>
      <c r="X45" s="54"/>
      <c r="Y45" s="58"/>
      <c r="Z45" s="54"/>
      <c r="AA45" s="55"/>
      <c r="AB45" s="58"/>
      <c r="AC45" s="54"/>
      <c r="AD45" s="54"/>
      <c r="AE45" s="54"/>
      <c r="AF45" s="56"/>
    </row>
    <row r="46" spans="15:34" x14ac:dyDescent="0.25">
      <c r="S46" s="213"/>
      <c r="T46" s="86"/>
      <c r="U46" s="86"/>
      <c r="V46" s="86"/>
      <c r="W46" s="86"/>
      <c r="X46" s="86"/>
      <c r="Y46" s="86"/>
      <c r="Z46" s="86"/>
      <c r="AA46" s="86"/>
      <c r="AB46" s="86"/>
      <c r="AC46" s="86"/>
      <c r="AD46" s="86"/>
      <c r="AE46" s="86"/>
      <c r="AF46" s="12"/>
    </row>
    <row r="47" spans="15:34" ht="18.75" x14ac:dyDescent="0.25">
      <c r="S47" s="213"/>
      <c r="T47" s="73"/>
      <c r="U47" s="55"/>
      <c r="V47" s="73"/>
      <c r="W47" s="55"/>
      <c r="X47" s="54"/>
      <c r="Y47" s="58"/>
      <c r="Z47" s="54"/>
      <c r="AA47" s="55"/>
      <c r="AB47" s="58"/>
      <c r="AC47" s="54"/>
      <c r="AD47" s="54"/>
      <c r="AE47" s="54"/>
      <c r="AF47" s="56"/>
    </row>
    <row r="48" spans="15:34" x14ac:dyDescent="0.25">
      <c r="S48" s="216"/>
      <c r="T48" s="86"/>
      <c r="U48" s="86"/>
      <c r="V48" s="86"/>
      <c r="W48" s="86"/>
      <c r="X48" s="86"/>
      <c r="Y48" s="86"/>
      <c r="Z48" s="86"/>
      <c r="AA48" s="86"/>
      <c r="AB48" s="86"/>
      <c r="AC48" s="86"/>
      <c r="AD48" s="86"/>
      <c r="AE48" s="86"/>
      <c r="AF48" s="12"/>
    </row>
    <row r="49" spans="15:34" ht="18.75" x14ac:dyDescent="0.25">
      <c r="S49" s="59"/>
      <c r="T49" s="73"/>
      <c r="U49" s="55"/>
      <c r="V49" s="73"/>
      <c r="W49" s="55"/>
      <c r="X49" s="54"/>
      <c r="Y49" s="58"/>
      <c r="Z49" s="54"/>
      <c r="AA49" s="55"/>
      <c r="AB49" s="58"/>
      <c r="AC49" s="54"/>
      <c r="AD49" s="54"/>
      <c r="AE49" s="54"/>
      <c r="AF49" s="56"/>
    </row>
    <row r="50" spans="15:34" x14ac:dyDescent="0.25">
      <c r="S50" s="59"/>
      <c r="T50" s="86"/>
      <c r="U50" s="86"/>
      <c r="V50" s="86"/>
      <c r="W50" s="86"/>
      <c r="X50" s="86"/>
      <c r="Y50" s="86"/>
      <c r="Z50" s="86"/>
      <c r="AA50" s="86"/>
      <c r="AB50" s="86"/>
      <c r="AC50" s="86"/>
      <c r="AD50" s="86"/>
      <c r="AE50" s="86"/>
      <c r="AF50" s="12"/>
    </row>
    <row r="51" spans="15:34" x14ac:dyDescent="0.25">
      <c r="S51" s="2"/>
      <c r="AG51" s="52"/>
      <c r="AH51" s="52"/>
    </row>
    <row r="52" spans="15:34" ht="18.75" x14ac:dyDescent="0.25">
      <c r="S52" s="59"/>
      <c r="T52" s="54"/>
      <c r="U52" s="55"/>
      <c r="V52" s="54"/>
      <c r="W52" s="55"/>
      <c r="X52" s="54"/>
      <c r="Y52" s="58"/>
      <c r="Z52" s="54"/>
      <c r="AA52" s="55"/>
      <c r="AB52" s="58"/>
      <c r="AC52" s="54"/>
      <c r="AD52" s="54"/>
      <c r="AE52" s="54"/>
      <c r="AF52" s="56"/>
      <c r="AG52" s="2"/>
      <c r="AH52" s="2"/>
    </row>
    <row r="53" spans="15:34" x14ac:dyDescent="0.25">
      <c r="S53" s="59"/>
      <c r="T53" s="86"/>
      <c r="U53" s="86"/>
      <c r="V53" s="86"/>
      <c r="W53" s="86"/>
      <c r="X53" s="86"/>
      <c r="Y53" s="86"/>
      <c r="Z53" s="86"/>
      <c r="AA53" s="86"/>
      <c r="AB53" s="86"/>
      <c r="AC53" s="86"/>
      <c r="AD53" s="86"/>
      <c r="AE53" s="86"/>
      <c r="AF53" s="12"/>
      <c r="AG53" s="12"/>
      <c r="AH53" s="12"/>
    </row>
    <row r="54" spans="15:34" ht="18.75" x14ac:dyDescent="0.25">
      <c r="O54" s="56"/>
      <c r="R54" s="73"/>
      <c r="S54" s="59"/>
      <c r="T54" s="73"/>
      <c r="U54" s="55"/>
      <c r="V54" s="73"/>
      <c r="W54" s="55"/>
      <c r="X54" s="54"/>
      <c r="Y54" s="58"/>
      <c r="Z54" s="54"/>
      <c r="AA54" s="55"/>
      <c r="AB54" s="58"/>
      <c r="AC54" s="54"/>
      <c r="AD54" s="54"/>
      <c r="AE54" s="54"/>
      <c r="AF54" s="56"/>
    </row>
    <row r="55" spans="15:34" x14ac:dyDescent="0.25">
      <c r="O55" s="12"/>
      <c r="S55" s="59"/>
      <c r="T55" s="86"/>
      <c r="U55" s="86"/>
      <c r="V55" s="86"/>
      <c r="W55" s="86"/>
      <c r="X55" s="86"/>
      <c r="Y55" s="86"/>
      <c r="Z55" s="86"/>
      <c r="AA55" s="86"/>
      <c r="AB55" s="86"/>
      <c r="AC55" s="86"/>
      <c r="AD55" s="86"/>
      <c r="AE55" s="86"/>
      <c r="AF55" s="12"/>
    </row>
    <row r="56" spans="15:34" ht="18.75" x14ac:dyDescent="0.25">
      <c r="R56" s="73"/>
      <c r="S56" s="59"/>
      <c r="T56" s="73"/>
      <c r="U56" s="55"/>
      <c r="V56" s="73"/>
      <c r="W56" s="55"/>
      <c r="X56" s="54"/>
      <c r="Y56" s="58"/>
      <c r="Z56" s="54"/>
      <c r="AA56" s="55"/>
      <c r="AB56" s="58"/>
      <c r="AC56" s="54"/>
      <c r="AD56" s="54"/>
      <c r="AE56" s="54"/>
      <c r="AF56" s="56"/>
    </row>
    <row r="57" spans="15:34" x14ac:dyDescent="0.25">
      <c r="S57" s="59"/>
      <c r="T57" s="86"/>
      <c r="U57" s="86"/>
      <c r="V57" s="86"/>
      <c r="W57" s="86"/>
      <c r="X57" s="86"/>
      <c r="Y57" s="86"/>
      <c r="Z57" s="86"/>
      <c r="AA57" s="86"/>
      <c r="AB57" s="86"/>
      <c r="AC57" s="86"/>
      <c r="AD57" s="86"/>
      <c r="AE57" s="86"/>
      <c r="AF57" s="12"/>
    </row>
    <row r="58" spans="15:34" ht="18.75" x14ac:dyDescent="0.25">
      <c r="R58" s="73"/>
      <c r="S58" s="213"/>
      <c r="T58" s="73"/>
      <c r="U58" s="55"/>
      <c r="V58" s="73"/>
      <c r="W58" s="55"/>
      <c r="X58" s="54"/>
      <c r="Y58" s="58"/>
      <c r="Z58" s="54"/>
      <c r="AA58" s="55"/>
      <c r="AB58" s="58"/>
      <c r="AC58" s="54"/>
      <c r="AD58" s="54"/>
      <c r="AE58" s="54"/>
      <c r="AF58" s="56"/>
    </row>
    <row r="59" spans="15:34" x14ac:dyDescent="0.25">
      <c r="S59" s="213"/>
      <c r="T59" s="86"/>
      <c r="U59" s="86"/>
      <c r="V59" s="86"/>
      <c r="W59" s="86"/>
      <c r="X59" s="86"/>
      <c r="Y59" s="86"/>
      <c r="Z59" s="86"/>
      <c r="AA59" s="86"/>
      <c r="AB59" s="86"/>
      <c r="AC59" s="86"/>
      <c r="AD59" s="86"/>
      <c r="AE59" s="86"/>
      <c r="AF59" s="12"/>
    </row>
    <row r="60" spans="15:34" ht="18.75" x14ac:dyDescent="0.25">
      <c r="R60" s="73"/>
      <c r="S60" s="213"/>
      <c r="T60" s="73"/>
      <c r="U60" s="55"/>
      <c r="V60" s="73"/>
      <c r="W60" s="55"/>
      <c r="X60" s="54"/>
      <c r="Y60" s="58"/>
      <c r="Z60" s="54"/>
      <c r="AA60" s="55"/>
      <c r="AB60" s="58"/>
      <c r="AC60" s="54"/>
      <c r="AD60" s="54"/>
      <c r="AE60" s="54"/>
      <c r="AF60" s="56"/>
    </row>
    <row r="61" spans="15:34" x14ac:dyDescent="0.25">
      <c r="S61" s="216"/>
      <c r="T61" s="86"/>
      <c r="U61" s="86"/>
      <c r="V61" s="86"/>
      <c r="W61" s="86"/>
      <c r="X61" s="86"/>
      <c r="Y61" s="86"/>
      <c r="Z61" s="86"/>
      <c r="AA61" s="86"/>
      <c r="AB61" s="86"/>
      <c r="AC61" s="86"/>
      <c r="AD61" s="86"/>
      <c r="AE61" s="86"/>
      <c r="AF61" s="12"/>
    </row>
    <row r="77" spans="19:34" x14ac:dyDescent="0.25">
      <c r="S77" s="59"/>
      <c r="T77" s="86"/>
      <c r="U77" s="86"/>
      <c r="V77" s="86"/>
      <c r="W77" s="86"/>
      <c r="X77" s="86"/>
      <c r="Y77" s="86"/>
      <c r="Z77" s="86"/>
      <c r="AA77" s="86"/>
      <c r="AB77" s="86"/>
      <c r="AC77" s="86"/>
      <c r="AD77" s="86"/>
      <c r="AE77" s="86"/>
      <c r="AF77" s="12"/>
      <c r="AG77" s="12"/>
      <c r="AH77" s="12"/>
    </row>
    <row r="78" spans="19:34" x14ac:dyDescent="0.25">
      <c r="S78" s="2"/>
      <c r="T78" s="96"/>
      <c r="U78" s="96"/>
      <c r="V78" s="96"/>
      <c r="W78" s="96"/>
      <c r="X78" s="96"/>
      <c r="Y78" s="96"/>
      <c r="Z78" s="96"/>
      <c r="AA78" s="96"/>
      <c r="AB78" s="96"/>
      <c r="AC78" s="96"/>
      <c r="AD78" s="96"/>
      <c r="AE78" s="96"/>
      <c r="AF78" s="94"/>
      <c r="AG78" s="52"/>
      <c r="AH78" s="52"/>
    </row>
    <row r="79" spans="19:34" ht="18.75" x14ac:dyDescent="0.25">
      <c r="S79" s="59"/>
      <c r="T79" s="54"/>
      <c r="U79" s="55"/>
      <c r="V79" s="54"/>
      <c r="W79" s="55"/>
      <c r="X79" s="54"/>
      <c r="Y79" s="58"/>
      <c r="Z79" s="54"/>
      <c r="AA79" s="55"/>
      <c r="AB79" s="58"/>
      <c r="AC79" s="54"/>
      <c r="AD79" s="54"/>
      <c r="AE79" s="54"/>
      <c r="AF79" s="56"/>
      <c r="AG79" s="2"/>
      <c r="AH79" s="2"/>
    </row>
    <row r="80" spans="19:34" x14ac:dyDescent="0.25">
      <c r="S80" s="59"/>
      <c r="T80" s="86"/>
      <c r="U80" s="86"/>
      <c r="V80" s="86"/>
      <c r="W80" s="86"/>
      <c r="X80" s="86"/>
      <c r="Y80" s="86"/>
      <c r="Z80" s="86"/>
      <c r="AA80" s="86"/>
      <c r="AB80" s="86"/>
      <c r="AC80" s="86"/>
      <c r="AD80" s="86"/>
      <c r="AE80" s="86"/>
      <c r="AF80" s="12"/>
      <c r="AG80" s="12"/>
      <c r="AH80" s="12"/>
    </row>
    <row r="81" spans="19:34" ht="18.75" x14ac:dyDescent="0.25">
      <c r="S81" s="59"/>
      <c r="T81" s="73"/>
      <c r="U81" s="55"/>
      <c r="V81" s="73"/>
      <c r="W81" s="55"/>
      <c r="X81" s="54"/>
      <c r="Y81" s="58"/>
      <c r="Z81" s="54"/>
      <c r="AA81" s="55"/>
      <c r="AB81" s="58"/>
      <c r="AC81" s="54"/>
      <c r="AD81" s="54"/>
      <c r="AE81" s="54"/>
      <c r="AF81" s="56"/>
    </row>
    <row r="82" spans="19:34" x14ac:dyDescent="0.25">
      <c r="S82" s="59"/>
      <c r="T82" s="86"/>
      <c r="U82" s="86"/>
      <c r="V82" s="86"/>
      <c r="W82" s="86"/>
      <c r="X82" s="86"/>
      <c r="Y82" s="86"/>
      <c r="Z82" s="86"/>
      <c r="AA82" s="86"/>
      <c r="AB82" s="86"/>
      <c r="AC82" s="86"/>
      <c r="AD82" s="86"/>
      <c r="AE82" s="86"/>
      <c r="AF82" s="12"/>
    </row>
    <row r="83" spans="19:34" ht="18.75" x14ac:dyDescent="0.25">
      <c r="S83" s="59"/>
      <c r="T83" s="73"/>
      <c r="U83" s="55"/>
      <c r="V83" s="73"/>
      <c r="W83" s="55"/>
      <c r="X83" s="54"/>
      <c r="Y83" s="58"/>
      <c r="Z83" s="54"/>
      <c r="AA83" s="55"/>
      <c r="AB83" s="58"/>
      <c r="AC83" s="54"/>
      <c r="AD83" s="54"/>
      <c r="AE83" s="54"/>
      <c r="AF83" s="56"/>
    </row>
    <row r="84" spans="19:34" x14ac:dyDescent="0.25">
      <c r="S84" s="59"/>
      <c r="T84" s="86"/>
      <c r="U84" s="86"/>
      <c r="V84" s="86"/>
      <c r="W84" s="86"/>
      <c r="X84" s="86"/>
      <c r="Y84" s="86"/>
      <c r="Z84" s="86"/>
      <c r="AA84" s="86"/>
      <c r="AB84" s="86"/>
      <c r="AC84" s="86"/>
      <c r="AD84" s="86"/>
      <c r="AE84" s="86"/>
      <c r="AF84" s="12"/>
    </row>
    <row r="85" spans="19:34" ht="18.75" x14ac:dyDescent="0.25">
      <c r="S85" s="213"/>
      <c r="T85" s="73"/>
      <c r="U85" s="55"/>
      <c r="V85" s="73"/>
      <c r="W85" s="55"/>
      <c r="X85" s="54"/>
      <c r="Y85" s="58"/>
      <c r="Z85" s="54"/>
      <c r="AA85" s="55"/>
      <c r="AB85" s="58"/>
      <c r="AC85" s="54"/>
      <c r="AD85" s="54"/>
      <c r="AE85" s="54"/>
      <c r="AF85" s="56"/>
    </row>
    <row r="86" spans="19:34" x14ac:dyDescent="0.25">
      <c r="S86" s="213"/>
      <c r="T86" s="86"/>
      <c r="U86" s="86"/>
      <c r="V86" s="86"/>
      <c r="W86" s="86"/>
      <c r="X86" s="86"/>
      <c r="Y86" s="86"/>
      <c r="Z86" s="86"/>
      <c r="AA86" s="86"/>
      <c r="AB86" s="86"/>
      <c r="AC86" s="86"/>
      <c r="AD86" s="86"/>
      <c r="AE86" s="86"/>
      <c r="AF86" s="12"/>
    </row>
    <row r="87" spans="19:34" ht="18.75" x14ac:dyDescent="0.25">
      <c r="S87" s="213"/>
      <c r="T87" s="73"/>
      <c r="U87" s="55"/>
      <c r="V87" s="73"/>
      <c r="W87" s="55"/>
      <c r="X87" s="54"/>
      <c r="Y87" s="58"/>
      <c r="Z87" s="54"/>
      <c r="AA87" s="55"/>
      <c r="AB87" s="58"/>
      <c r="AC87" s="54"/>
      <c r="AD87" s="54"/>
      <c r="AE87" s="54"/>
      <c r="AF87" s="56"/>
    </row>
    <row r="88" spans="19:34" x14ac:dyDescent="0.25">
      <c r="S88" s="216"/>
      <c r="T88" s="86"/>
      <c r="U88" s="86"/>
      <c r="V88" s="86"/>
      <c r="W88" s="86"/>
      <c r="X88" s="86"/>
      <c r="Y88" s="86"/>
      <c r="Z88" s="86"/>
      <c r="AA88" s="86"/>
      <c r="AB88" s="86"/>
      <c r="AC88" s="86"/>
      <c r="AD88" s="86"/>
      <c r="AE88" s="86"/>
      <c r="AF88" s="12"/>
    </row>
    <row r="89" spans="19:34" x14ac:dyDescent="0.25">
      <c r="S89" s="59"/>
      <c r="T89" s="86"/>
      <c r="U89" s="86"/>
      <c r="V89" s="86"/>
      <c r="W89" s="86"/>
      <c r="X89" s="86"/>
      <c r="Y89" s="86"/>
      <c r="Z89" s="86"/>
      <c r="AA89" s="86"/>
      <c r="AB89" s="86"/>
      <c r="AC89" s="86"/>
      <c r="AD89" s="86"/>
      <c r="AE89" s="86"/>
      <c r="AF89" s="12"/>
      <c r="AG89" s="12"/>
      <c r="AH89" s="12"/>
    </row>
    <row r="90" spans="19:34" ht="18.75" x14ac:dyDescent="0.25">
      <c r="S90" s="59"/>
      <c r="T90" s="73"/>
      <c r="U90" s="55"/>
      <c r="V90" s="73"/>
      <c r="W90" s="55"/>
      <c r="X90" s="54"/>
      <c r="Y90" s="58"/>
      <c r="Z90" s="54"/>
      <c r="AA90" s="55"/>
      <c r="AB90" s="58"/>
      <c r="AC90" s="54"/>
      <c r="AD90" s="54"/>
      <c r="AE90" s="54"/>
      <c r="AF90" s="56"/>
    </row>
    <row r="91" spans="19:34" x14ac:dyDescent="0.25">
      <c r="S91" s="2"/>
      <c r="AG91" s="52"/>
      <c r="AH91" s="52"/>
    </row>
    <row r="92" spans="19:34" ht="18.75" x14ac:dyDescent="0.25">
      <c r="S92" s="59"/>
      <c r="T92" s="54"/>
      <c r="U92" s="55"/>
      <c r="V92" s="54"/>
      <c r="W92" s="55"/>
      <c r="X92" s="54"/>
      <c r="Y92" s="58"/>
      <c r="Z92" s="54"/>
      <c r="AA92" s="55"/>
      <c r="AB92" s="58"/>
      <c r="AC92" s="54"/>
      <c r="AD92" s="54"/>
      <c r="AE92" s="54"/>
      <c r="AF92" s="56"/>
      <c r="AG92" s="2"/>
      <c r="AH92" s="2"/>
    </row>
    <row r="93" spans="19:34" x14ac:dyDescent="0.25">
      <c r="S93" s="59"/>
      <c r="T93" s="86"/>
      <c r="U93" s="86"/>
      <c r="V93" s="86"/>
      <c r="W93" s="86"/>
      <c r="X93" s="86"/>
      <c r="Y93" s="86"/>
      <c r="Z93" s="86"/>
      <c r="AA93" s="86"/>
      <c r="AB93" s="86"/>
      <c r="AC93" s="86"/>
      <c r="AD93" s="86"/>
      <c r="AE93" s="86"/>
      <c r="AF93" s="12"/>
      <c r="AG93" s="12"/>
      <c r="AH93" s="12"/>
    </row>
    <row r="94" spans="19:34" ht="18.75" x14ac:dyDescent="0.25">
      <c r="S94" s="59"/>
      <c r="T94" s="73"/>
      <c r="U94" s="55"/>
      <c r="V94" s="73"/>
      <c r="W94" s="55"/>
      <c r="X94" s="54"/>
      <c r="Y94" s="58"/>
      <c r="Z94" s="54"/>
      <c r="AA94" s="55"/>
      <c r="AB94" s="58"/>
      <c r="AC94" s="54"/>
      <c r="AD94" s="54"/>
      <c r="AE94" s="54"/>
      <c r="AF94" s="56"/>
    </row>
    <row r="95" spans="19:34" x14ac:dyDescent="0.25">
      <c r="S95" s="59"/>
      <c r="T95" s="86"/>
      <c r="U95" s="86"/>
      <c r="V95" s="86"/>
      <c r="W95" s="86"/>
      <c r="X95" s="86"/>
      <c r="Y95" s="86"/>
      <c r="Z95" s="86"/>
      <c r="AA95" s="86"/>
      <c r="AB95" s="86"/>
      <c r="AC95" s="86"/>
      <c r="AD95" s="86"/>
      <c r="AE95" s="86"/>
      <c r="AF95" s="12"/>
    </row>
    <row r="96" spans="19:34" ht="18.75" x14ac:dyDescent="0.25">
      <c r="S96" s="59"/>
      <c r="T96" s="73"/>
      <c r="U96" s="55"/>
      <c r="V96" s="73"/>
      <c r="W96" s="55"/>
      <c r="X96" s="54"/>
      <c r="Y96" s="58"/>
      <c r="Z96" s="54"/>
      <c r="AA96" s="55"/>
      <c r="AB96" s="58"/>
      <c r="AC96" s="54"/>
      <c r="AD96" s="54"/>
      <c r="AE96" s="54"/>
      <c r="AF96" s="56"/>
    </row>
    <row r="97" spans="15:32" x14ac:dyDescent="0.25">
      <c r="S97" s="59"/>
      <c r="T97" s="86"/>
      <c r="U97" s="86"/>
      <c r="V97" s="86"/>
      <c r="W97" s="86"/>
      <c r="X97" s="86"/>
      <c r="Y97" s="86"/>
      <c r="Z97" s="86"/>
      <c r="AA97" s="86"/>
      <c r="AB97" s="86"/>
      <c r="AC97" s="86"/>
      <c r="AD97" s="86"/>
      <c r="AE97" s="86"/>
      <c r="AF97" s="12"/>
    </row>
    <row r="98" spans="15:32" ht="18.75" x14ac:dyDescent="0.25">
      <c r="O98" s="56"/>
      <c r="S98" s="213"/>
      <c r="T98" s="73"/>
      <c r="U98" s="55"/>
      <c r="V98" s="73"/>
      <c r="W98" s="55"/>
      <c r="X98" s="54"/>
      <c r="Y98" s="58"/>
      <c r="Z98" s="54"/>
      <c r="AA98" s="55"/>
      <c r="AB98" s="58"/>
      <c r="AC98" s="54"/>
      <c r="AD98" s="54"/>
      <c r="AE98" s="54"/>
      <c r="AF98" s="56"/>
    </row>
    <row r="99" spans="15:32" x14ac:dyDescent="0.25">
      <c r="O99" s="12"/>
      <c r="S99" s="213"/>
      <c r="T99" s="86"/>
      <c r="U99" s="86"/>
      <c r="V99" s="86"/>
      <c r="W99" s="86"/>
      <c r="X99" s="86"/>
      <c r="Y99" s="86"/>
      <c r="Z99" s="86"/>
      <c r="AA99" s="86"/>
      <c r="AB99" s="86"/>
      <c r="AC99" s="86"/>
      <c r="AD99" s="86"/>
      <c r="AE99" s="86"/>
      <c r="AF99" s="12"/>
    </row>
    <row r="100" spans="15:32" ht="18.75" x14ac:dyDescent="0.25">
      <c r="O100" s="56"/>
      <c r="S100" s="213"/>
      <c r="T100" s="73"/>
      <c r="U100" s="55"/>
      <c r="V100" s="73"/>
      <c r="W100" s="55"/>
      <c r="X100" s="54"/>
      <c r="Y100" s="58"/>
      <c r="Z100" s="54"/>
      <c r="AA100" s="55"/>
      <c r="AB100" s="58"/>
      <c r="AC100" s="54"/>
      <c r="AD100" s="54"/>
      <c r="AE100" s="54"/>
      <c r="AF100" s="56"/>
    </row>
    <row r="101" spans="15:32" x14ac:dyDescent="0.25">
      <c r="O101" s="12"/>
      <c r="S101" s="216"/>
      <c r="T101" s="86"/>
      <c r="U101" s="86"/>
      <c r="V101" s="86"/>
      <c r="W101" s="86"/>
      <c r="X101" s="86"/>
      <c r="Y101" s="86"/>
      <c r="Z101" s="86"/>
      <c r="AA101" s="86"/>
      <c r="AB101" s="86"/>
      <c r="AC101" s="86"/>
      <c r="AD101" s="86"/>
      <c r="AE101" s="86"/>
      <c r="AF101" s="12"/>
    </row>
  </sheetData>
  <mergeCells count="19">
    <mergeCell ref="A29:A30"/>
    <mergeCell ref="Q29:Q30"/>
    <mergeCell ref="Q17:AC17"/>
    <mergeCell ref="Q20:Q21"/>
    <mergeCell ref="Q22:Q23"/>
    <mergeCell ref="Q24:Q25"/>
    <mergeCell ref="A27:A28"/>
    <mergeCell ref="Q27:Q28"/>
    <mergeCell ref="A1:B1"/>
    <mergeCell ref="C1:D1"/>
    <mergeCell ref="E1:F1"/>
    <mergeCell ref="A5:T5"/>
    <mergeCell ref="A24:A25"/>
    <mergeCell ref="A18:A19"/>
    <mergeCell ref="A20:A21"/>
    <mergeCell ref="A22:A23"/>
    <mergeCell ref="A16:O16"/>
    <mergeCell ref="Q16:AC16"/>
    <mergeCell ref="A17:O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zoomScale="90" zoomScaleNormal="90" workbookViewId="0">
      <selection activeCell="F15" sqref="F15"/>
    </sheetView>
  </sheetViews>
  <sheetFormatPr defaultRowHeight="15" x14ac:dyDescent="0.25"/>
  <cols>
    <col min="2" max="2" width="10.140625" customWidth="1"/>
    <col min="3" max="3" width="8.5703125" bestFit="1" customWidth="1"/>
    <col min="4" max="4" width="7.5703125" customWidth="1"/>
    <col min="5" max="5" width="7.7109375" bestFit="1" customWidth="1"/>
    <col min="6" max="6" width="7.5703125" bestFit="1" customWidth="1"/>
    <col min="7" max="7" width="10.5703125" bestFit="1" customWidth="1"/>
    <col min="8" max="8" width="7.5703125" bestFit="1" customWidth="1"/>
    <col min="10" max="10" width="7.140625" bestFit="1" customWidth="1"/>
    <col min="11" max="11" width="7.5703125" bestFit="1" customWidth="1"/>
    <col min="12" max="12" width="10" bestFit="1" customWidth="1"/>
    <col min="13" max="13" width="8.85546875" bestFit="1" customWidth="1"/>
    <col min="14" max="14" width="9.28515625" customWidth="1"/>
    <col min="15" max="15" width="11" customWidth="1"/>
    <col min="16" max="16" width="8.85546875" bestFit="1" customWidth="1"/>
    <col min="17" max="17" width="7.5703125" bestFit="1" customWidth="1"/>
    <col min="18" max="20" width="7.140625" customWidth="1"/>
    <col min="21" max="21" width="7.5703125" bestFit="1" customWidth="1"/>
    <col min="22" max="22" width="7.140625" customWidth="1"/>
    <col min="23" max="23" width="7.42578125" bestFit="1" customWidth="1"/>
    <col min="24" max="24" width="5.42578125" bestFit="1" customWidth="1"/>
    <col min="25" max="25" width="4.85546875" bestFit="1" customWidth="1"/>
    <col min="26" max="28" width="7.5703125" bestFit="1" customWidth="1"/>
    <col min="29" max="29" width="7.42578125" bestFit="1" customWidth="1"/>
    <col min="33" max="34" width="11" customWidth="1"/>
  </cols>
  <sheetData>
    <row r="1" spans="1:31" ht="30" customHeight="1" x14ac:dyDescent="0.25">
      <c r="A1" s="398" t="s">
        <v>144</v>
      </c>
      <c r="B1" s="400"/>
      <c r="C1" s="398" t="s">
        <v>145</v>
      </c>
      <c r="D1" s="399"/>
      <c r="E1" s="399" t="s">
        <v>146</v>
      </c>
      <c r="F1" s="399"/>
      <c r="G1" s="127" t="s">
        <v>147</v>
      </c>
    </row>
    <row r="2" spans="1:31" ht="47.25" x14ac:dyDescent="0.25">
      <c r="A2" s="125" t="s">
        <v>102</v>
      </c>
      <c r="B2" s="127" t="s">
        <v>100</v>
      </c>
      <c r="C2" s="109" t="s">
        <v>277</v>
      </c>
      <c r="D2" s="126" t="s">
        <v>276</v>
      </c>
      <c r="E2" s="73" t="s">
        <v>256</v>
      </c>
      <c r="F2" s="111" t="s">
        <v>278</v>
      </c>
      <c r="G2" s="112" t="s">
        <v>274</v>
      </c>
    </row>
    <row r="3" spans="1:31" x14ac:dyDescent="0.25">
      <c r="A3" s="129">
        <v>1</v>
      </c>
      <c r="B3" s="129">
        <f>'Analisi dei Carichi Solaio VI'!O3</f>
        <v>0.24000000000000002</v>
      </c>
      <c r="C3" s="129">
        <v>25</v>
      </c>
      <c r="D3" s="129">
        <f>A3*B3*C3</f>
        <v>6.0000000000000009</v>
      </c>
      <c r="E3" s="20">
        <f>'Analisi dei Carichi Solaio VI'!A20</f>
        <v>3.4000000000000004</v>
      </c>
      <c r="F3" s="129">
        <f>A3*E3</f>
        <v>3.4000000000000004</v>
      </c>
      <c r="G3" s="129">
        <f>D3-F3</f>
        <v>2.6000000000000005</v>
      </c>
    </row>
    <row r="4" spans="1:31" x14ac:dyDescent="0.25">
      <c r="A4" s="121"/>
      <c r="B4" s="121"/>
      <c r="C4" s="121"/>
      <c r="D4" s="121"/>
      <c r="E4" s="12"/>
      <c r="F4" s="128"/>
      <c r="G4" s="128"/>
    </row>
    <row r="5" spans="1:31" x14ac:dyDescent="0.25">
      <c r="A5" s="398" t="s">
        <v>151</v>
      </c>
      <c r="B5" s="399"/>
      <c r="C5" s="399"/>
      <c r="D5" s="399"/>
      <c r="E5" s="399"/>
      <c r="F5" s="400"/>
      <c r="G5" s="236"/>
      <c r="H5" s="236"/>
      <c r="I5" s="236"/>
    </row>
    <row r="6" spans="1:31" ht="62.25" x14ac:dyDescent="0.25">
      <c r="A6" s="192" t="s">
        <v>49</v>
      </c>
      <c r="B6" s="194" t="s">
        <v>152</v>
      </c>
      <c r="C6" s="194" t="s">
        <v>283</v>
      </c>
      <c r="D6" s="194" t="s">
        <v>284</v>
      </c>
      <c r="E6" s="111" t="s">
        <v>285</v>
      </c>
      <c r="F6" s="195" t="s">
        <v>286</v>
      </c>
      <c r="G6" s="72"/>
      <c r="I6" s="73"/>
    </row>
    <row r="7" spans="1:31" x14ac:dyDescent="0.25">
      <c r="A7" s="239" t="s">
        <v>181</v>
      </c>
      <c r="B7" s="197">
        <v>4.7750000000000004</v>
      </c>
      <c r="C7" s="20">
        <f>'Analisi dei Carichi Solaio VI'!$A$20</f>
        <v>3.4000000000000004</v>
      </c>
      <c r="D7" s="20">
        <f>'Analisi dei Carichi Solaio VI'!J13</f>
        <v>0.97500000000000009</v>
      </c>
      <c r="E7" s="20">
        <f>'Analisi dei Carichi Solaio VI'!$E$20</f>
        <v>2</v>
      </c>
      <c r="F7" s="20">
        <f>$G$3</f>
        <v>2.6000000000000005</v>
      </c>
    </row>
    <row r="8" spans="1:31" x14ac:dyDescent="0.25">
      <c r="A8" s="239" t="s">
        <v>180</v>
      </c>
      <c r="B8" s="197">
        <v>4.7</v>
      </c>
      <c r="C8" s="20">
        <f>'Analisi dei Carichi Solaio VI'!$A$20</f>
        <v>3.4000000000000004</v>
      </c>
      <c r="D8" s="20">
        <f>'Analisi dei Carichi Solaio VI'!J13</f>
        <v>0.97500000000000009</v>
      </c>
      <c r="E8" s="20">
        <f>'Analisi dei Carichi Solaio VI'!$E$20</f>
        <v>2</v>
      </c>
      <c r="F8" s="20">
        <f>$G$3</f>
        <v>2.6000000000000005</v>
      </c>
    </row>
    <row r="9" spans="1:31" x14ac:dyDescent="0.25">
      <c r="A9" s="128"/>
      <c r="B9" s="128"/>
      <c r="C9" s="12"/>
      <c r="D9" s="12"/>
      <c r="E9" s="12"/>
      <c r="F9" s="12"/>
    </row>
    <row r="10" spans="1:31" x14ac:dyDescent="0.25">
      <c r="A10" s="418" t="s">
        <v>153</v>
      </c>
      <c r="B10" s="418"/>
      <c r="C10" s="418"/>
      <c r="D10" s="418"/>
      <c r="E10" s="418"/>
      <c r="F10" s="418"/>
      <c r="G10" s="418"/>
      <c r="H10" s="418"/>
      <c r="I10" s="418"/>
      <c r="J10" s="418"/>
      <c r="K10" s="418"/>
      <c r="L10" s="244"/>
      <c r="M10" s="416" t="s">
        <v>155</v>
      </c>
      <c r="N10" s="416"/>
      <c r="O10" s="416"/>
      <c r="P10" s="416"/>
      <c r="Q10" s="416"/>
      <c r="R10" s="416"/>
      <c r="S10" s="416"/>
      <c r="T10" s="416"/>
      <c r="U10" s="416"/>
      <c r="V10" s="416"/>
      <c r="W10" s="416"/>
      <c r="AA10" s="243"/>
      <c r="AB10" s="243"/>
      <c r="AC10" s="243"/>
    </row>
    <row r="11" spans="1:31" x14ac:dyDescent="0.25">
      <c r="A11" s="382" t="s">
        <v>154</v>
      </c>
      <c r="B11" s="382"/>
      <c r="C11" s="382"/>
      <c r="D11" s="382"/>
      <c r="E11" s="382"/>
      <c r="F11" s="382"/>
      <c r="G11" s="382"/>
      <c r="H11" s="382"/>
      <c r="I11" s="382"/>
      <c r="J11" s="382"/>
      <c r="K11" s="382"/>
      <c r="L11" s="209"/>
      <c r="M11" s="417" t="s">
        <v>154</v>
      </c>
      <c r="N11" s="417"/>
      <c r="O11" s="417"/>
      <c r="P11" s="417"/>
      <c r="Q11" s="417"/>
      <c r="R11" s="417"/>
      <c r="S11" s="417"/>
      <c r="T11" s="417"/>
      <c r="U11" s="417"/>
      <c r="V11" s="417"/>
      <c r="W11" s="417"/>
      <c r="AA11" s="242"/>
      <c r="AB11" s="242"/>
      <c r="AC11" s="242"/>
    </row>
    <row r="12" spans="1:31" x14ac:dyDescent="0.25">
      <c r="A12" s="52" t="s">
        <v>49</v>
      </c>
      <c r="B12" s="96"/>
      <c r="C12" s="96"/>
      <c r="D12" s="96"/>
      <c r="E12" s="96"/>
      <c r="F12" s="96"/>
      <c r="G12" s="96"/>
      <c r="H12" s="96"/>
      <c r="I12" s="96"/>
      <c r="J12" s="96"/>
      <c r="K12" s="96"/>
      <c r="L12" s="96"/>
      <c r="M12" s="52" t="s">
        <v>49</v>
      </c>
      <c r="N12" s="96"/>
      <c r="O12" s="96"/>
      <c r="P12" s="96"/>
      <c r="Q12" s="96"/>
      <c r="R12" s="96"/>
      <c r="S12" s="96"/>
      <c r="T12" s="96"/>
      <c r="U12" s="96"/>
      <c r="V12" s="96"/>
      <c r="W12" s="96"/>
      <c r="AA12" s="96"/>
      <c r="AB12" s="96"/>
      <c r="AC12" s="96"/>
    </row>
    <row r="13" spans="1:31" ht="48" x14ac:dyDescent="0.25">
      <c r="A13" s="415" t="s">
        <v>181</v>
      </c>
      <c r="B13" s="54" t="s">
        <v>248</v>
      </c>
      <c r="C13" s="55" t="s">
        <v>56</v>
      </c>
      <c r="D13" s="54" t="s">
        <v>249</v>
      </c>
      <c r="E13" s="55" t="s">
        <v>57</v>
      </c>
      <c r="F13" s="54" t="s">
        <v>250</v>
      </c>
      <c r="G13" s="55" t="s">
        <v>58</v>
      </c>
      <c r="H13" s="54" t="s">
        <v>251</v>
      </c>
      <c r="I13" s="54" t="s">
        <v>252</v>
      </c>
      <c r="J13" s="54" t="s">
        <v>253</v>
      </c>
      <c r="K13" s="56" t="s">
        <v>62</v>
      </c>
      <c r="M13" s="412" t="s">
        <v>181</v>
      </c>
      <c r="N13" s="54" t="s">
        <v>248</v>
      </c>
      <c r="O13" s="54" t="s">
        <v>249</v>
      </c>
      <c r="P13" s="54" t="s">
        <v>250</v>
      </c>
      <c r="Q13" s="58" t="s">
        <v>63</v>
      </c>
      <c r="R13" s="54" t="s">
        <v>290</v>
      </c>
      <c r="S13" s="58" t="s">
        <v>139</v>
      </c>
      <c r="T13" s="54" t="s">
        <v>251</v>
      </c>
      <c r="U13" s="54" t="s">
        <v>252</v>
      </c>
      <c r="V13" s="54" t="s">
        <v>253</v>
      </c>
      <c r="W13" s="56" t="s">
        <v>62</v>
      </c>
    </row>
    <row r="14" spans="1:31" ht="15" customHeight="1" x14ac:dyDescent="0.25">
      <c r="A14" s="412"/>
      <c r="B14" s="86">
        <f>$C$7*$B$7+$F$7</f>
        <v>18.835000000000004</v>
      </c>
      <c r="C14" s="86">
        <v>1.3</v>
      </c>
      <c r="D14" s="86">
        <f>$D$7*B7</f>
        <v>4.6556250000000006</v>
      </c>
      <c r="E14" s="86">
        <v>1.5</v>
      </c>
      <c r="F14" s="86">
        <f>$E$7*B7</f>
        <v>9.5500000000000007</v>
      </c>
      <c r="G14" s="86">
        <v>1.5</v>
      </c>
      <c r="H14" s="86">
        <f>B14*C14</f>
        <v>24.485500000000005</v>
      </c>
      <c r="I14" s="86">
        <f>D14*E14</f>
        <v>6.9834375000000009</v>
      </c>
      <c r="J14" s="86">
        <f>F14*G14</f>
        <v>14.325000000000001</v>
      </c>
      <c r="K14" s="12">
        <f>H14+I14+J14</f>
        <v>45.793937500000006</v>
      </c>
      <c r="M14" s="412"/>
      <c r="N14" s="86">
        <f>$C$7*$B$7+$F$7</f>
        <v>18.835000000000004</v>
      </c>
      <c r="O14" s="86">
        <f>$D$7*$B$7</f>
        <v>4.6556250000000006</v>
      </c>
      <c r="P14" s="86">
        <f>$E$7*B7</f>
        <v>9.5500000000000007</v>
      </c>
      <c r="Q14" s="86">
        <v>0.3</v>
      </c>
      <c r="R14" s="86">
        <f>$I$7</f>
        <v>0</v>
      </c>
      <c r="S14" s="86">
        <v>0.3</v>
      </c>
      <c r="T14" s="86">
        <f>N14</f>
        <v>18.835000000000004</v>
      </c>
      <c r="U14" s="86">
        <f>O14</f>
        <v>4.6556250000000006</v>
      </c>
      <c r="V14" s="86">
        <f>P14*Q14+R14*S14</f>
        <v>2.8650000000000002</v>
      </c>
      <c r="W14" s="12">
        <f>T14+U14+V14</f>
        <v>26.355625000000003</v>
      </c>
    </row>
    <row r="15" spans="1:31" ht="48" x14ac:dyDescent="0.25">
      <c r="A15" s="415" t="s">
        <v>180</v>
      </c>
      <c r="B15" s="54" t="s">
        <v>248</v>
      </c>
      <c r="C15" s="55" t="s">
        <v>56</v>
      </c>
      <c r="D15" s="54" t="s">
        <v>249</v>
      </c>
      <c r="E15" s="55" t="s">
        <v>57</v>
      </c>
      <c r="F15" s="54" t="s">
        <v>250</v>
      </c>
      <c r="G15" s="55" t="s">
        <v>58</v>
      </c>
      <c r="H15" s="54" t="s">
        <v>251</v>
      </c>
      <c r="I15" s="54" t="s">
        <v>252</v>
      </c>
      <c r="J15" s="54" t="s">
        <v>253</v>
      </c>
      <c r="K15" s="56" t="s">
        <v>62</v>
      </c>
      <c r="M15" s="412" t="s">
        <v>180</v>
      </c>
      <c r="N15" s="54" t="s">
        <v>248</v>
      </c>
      <c r="O15" s="54" t="s">
        <v>249</v>
      </c>
      <c r="P15" s="54" t="s">
        <v>250</v>
      </c>
      <c r="Q15" s="58" t="s">
        <v>63</v>
      </c>
      <c r="R15" s="54" t="s">
        <v>290</v>
      </c>
      <c r="S15" s="58" t="s">
        <v>139</v>
      </c>
      <c r="T15" s="54" t="s">
        <v>251</v>
      </c>
      <c r="U15" s="54" t="s">
        <v>252</v>
      </c>
      <c r="V15" s="54" t="s">
        <v>253</v>
      </c>
      <c r="W15" s="56" t="s">
        <v>62</v>
      </c>
      <c r="AD15" s="52"/>
      <c r="AE15" s="52"/>
    </row>
    <row r="16" spans="1:31" x14ac:dyDescent="0.25">
      <c r="A16" s="412"/>
      <c r="B16" s="86">
        <f>$C$8*B8+$F$8</f>
        <v>18.580000000000002</v>
      </c>
      <c r="C16" s="86">
        <v>1.3</v>
      </c>
      <c r="D16" s="86">
        <f>$D$8*$B$8</f>
        <v>4.5825000000000005</v>
      </c>
      <c r="E16" s="86">
        <v>1.5</v>
      </c>
      <c r="F16" s="86">
        <f>$E$8*B8</f>
        <v>9.4</v>
      </c>
      <c r="G16" s="86">
        <v>1.5</v>
      </c>
      <c r="H16" s="86">
        <f>B16*C16</f>
        <v>24.154000000000003</v>
      </c>
      <c r="I16" s="86">
        <f>D16*E16</f>
        <v>6.8737500000000011</v>
      </c>
      <c r="J16" s="86">
        <f>F16*G16</f>
        <v>14.100000000000001</v>
      </c>
      <c r="K16" s="12">
        <f>H16+I16+J16</f>
        <v>45.127750000000006</v>
      </c>
      <c r="M16" s="412"/>
      <c r="N16" s="86">
        <f>$C$8*$B$8+$F$8</f>
        <v>18.580000000000002</v>
      </c>
      <c r="O16" s="86">
        <f>$D$8*$B$8</f>
        <v>4.5825000000000005</v>
      </c>
      <c r="P16" s="86">
        <f>$E$8*B8</f>
        <v>9.4</v>
      </c>
      <c r="Q16" s="86">
        <v>0.3</v>
      </c>
      <c r="R16" s="86">
        <f>$I$8</f>
        <v>0</v>
      </c>
      <c r="S16" s="86">
        <v>0.3</v>
      </c>
      <c r="T16" s="86">
        <f>N16</f>
        <v>18.580000000000002</v>
      </c>
      <c r="U16" s="86">
        <f>O16</f>
        <v>4.5825000000000005</v>
      </c>
      <c r="V16" s="86">
        <f>P16*Q16+R16*S16</f>
        <v>2.82</v>
      </c>
      <c r="W16" s="12">
        <f>T16+U16+V16</f>
        <v>25.982500000000002</v>
      </c>
      <c r="AD16" s="2"/>
      <c r="AE16" s="2"/>
    </row>
    <row r="17" spans="1:31" ht="18.75" x14ac:dyDescent="0.25">
      <c r="A17" s="123"/>
      <c r="B17" s="73"/>
      <c r="C17" s="85"/>
      <c r="D17" s="73"/>
      <c r="E17" s="85"/>
      <c r="F17" s="73"/>
      <c r="G17" s="85"/>
      <c r="H17" s="73"/>
      <c r="I17" s="85"/>
      <c r="J17" s="58"/>
      <c r="K17" s="73"/>
      <c r="L17" s="73"/>
      <c r="M17" s="73"/>
      <c r="N17" s="56"/>
      <c r="AD17" s="12"/>
      <c r="AE17" s="12"/>
    </row>
    <row r="18" spans="1:31" x14ac:dyDescent="0.25">
      <c r="A18" s="123"/>
      <c r="B18" s="86"/>
      <c r="C18" s="86"/>
      <c r="D18" s="86"/>
      <c r="E18" s="86"/>
      <c r="F18" s="86"/>
      <c r="G18" s="86"/>
      <c r="H18" s="86"/>
      <c r="I18" s="86"/>
      <c r="J18" s="86"/>
      <c r="K18" s="86"/>
    </row>
    <row r="19" spans="1:31" ht="18.75" x14ac:dyDescent="0.25">
      <c r="A19" s="59"/>
      <c r="B19" s="73"/>
      <c r="C19" s="85"/>
      <c r="D19" s="73"/>
      <c r="E19" s="85"/>
      <c r="F19" s="73"/>
      <c r="G19" s="85"/>
      <c r="H19" s="73"/>
      <c r="I19" s="85"/>
      <c r="J19" s="58"/>
      <c r="K19" s="73"/>
    </row>
    <row r="20" spans="1:31" x14ac:dyDescent="0.25">
      <c r="A20" s="59"/>
      <c r="B20" s="86"/>
      <c r="C20" s="86"/>
      <c r="D20" s="86"/>
      <c r="E20" s="86"/>
      <c r="F20" s="86"/>
      <c r="G20" s="86"/>
      <c r="H20" s="86"/>
      <c r="I20" s="86"/>
      <c r="J20" s="86"/>
      <c r="K20" s="86"/>
    </row>
    <row r="21" spans="1:31" ht="18.75" x14ac:dyDescent="0.25">
      <c r="A21" s="59"/>
      <c r="B21" s="73"/>
      <c r="C21" s="85"/>
      <c r="D21" s="73"/>
      <c r="E21" s="85"/>
      <c r="F21" s="73"/>
      <c r="G21" s="85"/>
      <c r="H21" s="73"/>
      <c r="I21" s="85"/>
      <c r="J21" s="58"/>
      <c r="K21" s="73"/>
    </row>
    <row r="22" spans="1:31" x14ac:dyDescent="0.25">
      <c r="A22" s="238"/>
      <c r="B22" s="86"/>
      <c r="C22" s="86"/>
      <c r="D22" s="86"/>
      <c r="E22" s="86"/>
      <c r="F22" s="86"/>
      <c r="G22" s="86"/>
      <c r="H22" s="86"/>
      <c r="I22" s="86"/>
      <c r="J22" s="86"/>
      <c r="K22" s="86"/>
    </row>
    <row r="24" spans="1:31" ht="15" customHeight="1" x14ac:dyDescent="0.25"/>
    <row r="25" spans="1:31" ht="15" customHeight="1" x14ac:dyDescent="0.25">
      <c r="O25" s="52"/>
    </row>
    <row r="26" spans="1:31" x14ac:dyDescent="0.25">
      <c r="O26" s="2"/>
    </row>
    <row r="27" spans="1:31" x14ac:dyDescent="0.25">
      <c r="O27" s="12"/>
    </row>
    <row r="36" spans="1:34" x14ac:dyDescent="0.25">
      <c r="O36" s="86"/>
      <c r="P36" s="86"/>
      <c r="Q36" s="86"/>
    </row>
    <row r="37" spans="1:34" ht="15" customHeight="1" x14ac:dyDescent="0.25">
      <c r="O37" s="85"/>
      <c r="P37" s="73"/>
      <c r="Q37" s="85"/>
      <c r="S37" s="59"/>
      <c r="T37" s="86"/>
      <c r="U37" s="86"/>
      <c r="V37" s="86"/>
      <c r="W37" s="86"/>
      <c r="X37" s="86"/>
      <c r="Y37" s="86"/>
      <c r="Z37" s="86"/>
      <c r="AA37" s="86"/>
      <c r="AB37" s="86"/>
      <c r="AC37" s="86"/>
      <c r="AD37" s="86"/>
      <c r="AE37" s="86"/>
      <c r="AF37" s="12"/>
      <c r="AG37" s="12"/>
      <c r="AH37" s="12"/>
    </row>
    <row r="38" spans="1:34" ht="18.75" x14ac:dyDescent="0.25">
      <c r="P38" s="52"/>
      <c r="S38" s="59"/>
      <c r="T38" s="54"/>
      <c r="U38" s="55"/>
      <c r="V38" s="54"/>
      <c r="W38" s="55"/>
      <c r="X38" s="54"/>
      <c r="Y38" s="58"/>
      <c r="Z38" s="54"/>
      <c r="AA38" s="55"/>
      <c r="AB38" s="58"/>
      <c r="AC38" s="54"/>
      <c r="AD38" s="54"/>
      <c r="AE38" s="54"/>
      <c r="AF38" s="56"/>
    </row>
    <row r="39" spans="1:34" x14ac:dyDescent="0.25">
      <c r="O39" s="2"/>
      <c r="P39" s="2"/>
      <c r="S39" s="59"/>
      <c r="T39" s="86"/>
      <c r="U39" s="86"/>
      <c r="V39" s="86"/>
      <c r="W39" s="86"/>
      <c r="X39" s="86"/>
      <c r="Y39" s="86"/>
      <c r="Z39" s="86"/>
      <c r="AA39" s="86"/>
      <c r="AB39" s="86"/>
      <c r="AC39" s="86"/>
      <c r="AD39" s="86"/>
      <c r="AE39" s="86"/>
      <c r="AF39" s="12"/>
    </row>
    <row r="40" spans="1:34" x14ac:dyDescent="0.25">
      <c r="A40" s="59"/>
      <c r="B40" s="86"/>
      <c r="C40" s="86"/>
      <c r="D40" s="86"/>
      <c r="E40" s="86"/>
      <c r="F40" s="86"/>
      <c r="G40" s="86"/>
      <c r="H40" s="86"/>
      <c r="I40" s="86"/>
      <c r="J40" s="86"/>
      <c r="K40" s="86"/>
      <c r="L40" s="86"/>
      <c r="M40" s="86"/>
      <c r="N40" s="12"/>
      <c r="O40" s="12"/>
      <c r="P40" s="12"/>
      <c r="S40" s="59"/>
      <c r="T40" s="86"/>
      <c r="U40" s="86"/>
      <c r="V40" s="86"/>
      <c r="W40" s="86"/>
      <c r="X40" s="86"/>
      <c r="Y40" s="86"/>
      <c r="Z40" s="86"/>
      <c r="AA40" s="86"/>
      <c r="AB40" s="86"/>
      <c r="AC40" s="86"/>
      <c r="AD40" s="86"/>
      <c r="AE40" s="86"/>
      <c r="AF40" s="12"/>
      <c r="AG40" s="12"/>
      <c r="AH40" s="12"/>
    </row>
    <row r="41" spans="1:34" ht="18.75" x14ac:dyDescent="0.25">
      <c r="A41" s="59"/>
      <c r="B41" s="73"/>
      <c r="C41" s="55"/>
      <c r="D41" s="73"/>
      <c r="E41" s="85"/>
      <c r="F41" s="73"/>
      <c r="G41" s="85"/>
      <c r="H41" s="73"/>
      <c r="I41" s="85"/>
      <c r="J41" s="58"/>
      <c r="K41" s="73"/>
      <c r="L41" s="73"/>
      <c r="M41" s="73"/>
      <c r="N41" s="56"/>
      <c r="S41" s="59"/>
      <c r="T41" s="54"/>
      <c r="U41" s="55"/>
      <c r="V41" s="54"/>
      <c r="W41" s="55"/>
      <c r="X41" s="54"/>
      <c r="Y41" s="58"/>
      <c r="Z41" s="54"/>
      <c r="AA41" s="55"/>
      <c r="AB41" s="58"/>
      <c r="AC41" s="54"/>
      <c r="AD41" s="54"/>
      <c r="AE41" s="54"/>
      <c r="AF41" s="56"/>
    </row>
    <row r="42" spans="1:34" x14ac:dyDescent="0.25">
      <c r="A42" s="59"/>
      <c r="B42" s="86"/>
      <c r="C42" s="86"/>
      <c r="D42" s="86"/>
      <c r="E42" s="86"/>
      <c r="F42" s="86"/>
      <c r="G42" s="86"/>
      <c r="H42" s="86"/>
      <c r="I42" s="86"/>
      <c r="J42" s="86"/>
      <c r="K42" s="86"/>
      <c r="L42" s="86"/>
      <c r="M42" s="86"/>
      <c r="N42" s="12"/>
      <c r="S42" s="59"/>
      <c r="T42" s="86"/>
      <c r="U42" s="86"/>
      <c r="V42" s="86"/>
      <c r="W42" s="86"/>
      <c r="X42" s="86"/>
      <c r="Y42" s="86"/>
      <c r="Z42" s="86"/>
      <c r="AA42" s="86"/>
      <c r="AB42" s="86"/>
      <c r="AC42" s="86"/>
      <c r="AD42" s="86"/>
      <c r="AE42" s="86"/>
      <c r="AF42" s="12"/>
    </row>
    <row r="43" spans="1:34" ht="18.75" x14ac:dyDescent="0.25">
      <c r="A43" s="59"/>
      <c r="B43" s="73"/>
      <c r="C43" s="55"/>
      <c r="D43" s="73"/>
      <c r="E43" s="85"/>
      <c r="F43" s="73"/>
      <c r="G43" s="85"/>
      <c r="H43" s="73"/>
      <c r="I43" s="85"/>
      <c r="J43" s="58"/>
      <c r="K43" s="73"/>
      <c r="L43" s="73"/>
      <c r="M43" s="73"/>
      <c r="N43" s="56"/>
      <c r="S43" s="59"/>
      <c r="T43" s="54"/>
      <c r="U43" s="55"/>
      <c r="V43" s="54"/>
      <c r="W43" s="55"/>
      <c r="X43" s="54"/>
      <c r="Y43" s="58"/>
      <c r="Z43" s="54"/>
      <c r="AA43" s="55"/>
      <c r="AB43" s="58"/>
      <c r="AC43" s="54"/>
      <c r="AD43" s="54"/>
      <c r="AE43" s="54"/>
      <c r="AF43" s="56"/>
    </row>
    <row r="44" spans="1:34" x14ac:dyDescent="0.25">
      <c r="A44" s="59"/>
      <c r="B44" s="86"/>
      <c r="C44" s="86"/>
      <c r="D44" s="86"/>
      <c r="E44" s="86"/>
      <c r="F44" s="86"/>
      <c r="G44" s="86"/>
      <c r="H44" s="86"/>
      <c r="I44" s="86"/>
      <c r="J44" s="86"/>
      <c r="K44" s="86"/>
      <c r="L44" s="86"/>
      <c r="M44" s="86"/>
      <c r="N44" s="12"/>
    </row>
    <row r="45" spans="1:34" ht="18.75" x14ac:dyDescent="0.25">
      <c r="A45" s="59"/>
      <c r="B45" s="73"/>
      <c r="C45" s="55"/>
      <c r="D45" s="73"/>
      <c r="E45" s="85"/>
      <c r="F45" s="73"/>
      <c r="G45" s="85"/>
      <c r="H45" s="73"/>
      <c r="I45" s="85"/>
      <c r="J45" s="58"/>
      <c r="K45" s="73"/>
      <c r="L45" s="73"/>
      <c r="M45" s="73"/>
      <c r="N45" s="56"/>
    </row>
    <row r="46" spans="1:34" x14ac:dyDescent="0.25">
      <c r="A46" s="238"/>
      <c r="B46" s="86"/>
      <c r="C46" s="86"/>
      <c r="D46" s="86"/>
      <c r="E46" s="86"/>
      <c r="F46" s="86"/>
      <c r="G46" s="86"/>
      <c r="H46" s="86"/>
      <c r="I46" s="86"/>
      <c r="J46" s="86"/>
      <c r="K46" s="86"/>
      <c r="L46" s="86"/>
      <c r="M46" s="86"/>
      <c r="N46" s="12"/>
    </row>
    <row r="47" spans="1:34" ht="18.75" x14ac:dyDescent="0.25">
      <c r="A47" s="59"/>
      <c r="B47" s="73"/>
      <c r="C47" s="55"/>
      <c r="D47" s="73"/>
      <c r="E47" s="85"/>
      <c r="F47" s="73"/>
      <c r="G47" s="85"/>
      <c r="H47" s="73"/>
      <c r="I47" s="85"/>
      <c r="J47" s="58"/>
      <c r="K47" s="73"/>
      <c r="L47" s="73"/>
      <c r="M47" s="73"/>
      <c r="N47" s="56"/>
    </row>
    <row r="48" spans="1:34" ht="18.75" x14ac:dyDescent="0.25">
      <c r="A48" s="73"/>
      <c r="B48" s="55"/>
      <c r="C48" s="73"/>
      <c r="D48" s="85"/>
      <c r="E48" s="73"/>
      <c r="F48" s="85"/>
      <c r="G48" s="73"/>
      <c r="H48" s="85"/>
      <c r="I48" s="58"/>
      <c r="J48" s="73"/>
      <c r="K48" s="73"/>
      <c r="L48" s="73"/>
      <c r="M48" s="56"/>
      <c r="P48" s="52"/>
    </row>
    <row r="49" spans="1:32" ht="18.75" x14ac:dyDescent="0.25">
      <c r="A49" s="59"/>
      <c r="B49" s="54"/>
      <c r="C49" s="55"/>
      <c r="D49" s="54"/>
      <c r="E49" s="55"/>
      <c r="F49" s="54"/>
      <c r="G49" s="55"/>
      <c r="H49" s="54"/>
      <c r="I49" s="55"/>
      <c r="J49" s="113"/>
      <c r="K49" s="54"/>
      <c r="L49" s="54"/>
      <c r="M49" s="54"/>
      <c r="N49" s="56"/>
      <c r="O49" s="152"/>
      <c r="P49" s="152"/>
    </row>
    <row r="50" spans="1:32" x14ac:dyDescent="0.25">
      <c r="A50" s="59"/>
      <c r="B50" s="86"/>
      <c r="C50" s="86"/>
      <c r="D50" s="86"/>
      <c r="E50" s="86"/>
      <c r="F50" s="86"/>
      <c r="G50" s="86"/>
      <c r="H50" s="86"/>
      <c r="I50" s="86"/>
      <c r="J50" s="86"/>
      <c r="K50" s="86"/>
      <c r="L50" s="86"/>
      <c r="M50" s="86"/>
      <c r="N50" s="12"/>
      <c r="O50" s="12"/>
      <c r="P50" s="12"/>
    </row>
    <row r="51" spans="1:32" ht="18.75" x14ac:dyDescent="0.25">
      <c r="A51" s="59"/>
      <c r="B51" s="73"/>
      <c r="C51" s="55"/>
      <c r="D51" s="73"/>
      <c r="E51" s="85"/>
      <c r="F51" s="73"/>
      <c r="G51" s="85"/>
      <c r="H51" s="73"/>
      <c r="I51" s="85"/>
      <c r="J51" s="58"/>
      <c r="K51" s="73"/>
      <c r="L51" s="73"/>
      <c r="M51" s="73"/>
      <c r="N51" s="56"/>
      <c r="Q51" s="52"/>
    </row>
    <row r="52" spans="1:32" x14ac:dyDescent="0.25">
      <c r="A52" s="59"/>
      <c r="B52" s="86"/>
      <c r="C52" s="86"/>
      <c r="D52" s="86"/>
      <c r="E52" s="86"/>
      <c r="F52" s="86"/>
      <c r="G52" s="86"/>
      <c r="H52" s="86"/>
      <c r="I52" s="86"/>
      <c r="J52" s="86"/>
      <c r="K52" s="86"/>
      <c r="L52" s="86"/>
      <c r="M52" s="86"/>
      <c r="N52" s="12"/>
      <c r="Q52" s="2"/>
    </row>
    <row r="53" spans="1:32" ht="18.75" x14ac:dyDescent="0.25">
      <c r="A53" s="59"/>
      <c r="B53" s="73"/>
      <c r="C53" s="55"/>
      <c r="D53" s="73"/>
      <c r="E53" s="85"/>
      <c r="F53" s="73"/>
      <c r="G53" s="85"/>
      <c r="H53" s="73"/>
      <c r="I53" s="85"/>
      <c r="J53" s="58"/>
      <c r="K53" s="73"/>
      <c r="L53" s="73"/>
      <c r="M53" s="73"/>
      <c r="N53" s="56"/>
      <c r="Q53" s="12"/>
    </row>
    <row r="54" spans="1:32" x14ac:dyDescent="0.25">
      <c r="A54" s="59"/>
      <c r="B54" s="86"/>
      <c r="C54" s="86"/>
      <c r="D54" s="86"/>
      <c r="E54" s="86"/>
      <c r="F54" s="86"/>
      <c r="G54" s="86"/>
      <c r="H54" s="86"/>
      <c r="I54" s="86"/>
      <c r="J54" s="86"/>
      <c r="K54" s="86"/>
      <c r="L54" s="86"/>
      <c r="M54" s="86"/>
      <c r="N54" s="12"/>
      <c r="R54" s="73"/>
    </row>
    <row r="55" spans="1:32" ht="18.75" x14ac:dyDescent="0.25">
      <c r="A55" s="59"/>
      <c r="B55" s="73"/>
      <c r="C55" s="55"/>
      <c r="D55" s="73"/>
      <c r="E55" s="85"/>
      <c r="F55" s="73"/>
      <c r="G55" s="85"/>
      <c r="H55" s="73"/>
      <c r="I55" s="85"/>
      <c r="J55" s="58"/>
      <c r="K55" s="73"/>
      <c r="L55" s="73"/>
      <c r="M55" s="73"/>
      <c r="N55" s="56"/>
    </row>
    <row r="56" spans="1:32" x14ac:dyDescent="0.25">
      <c r="A56" s="238"/>
      <c r="B56" s="86"/>
      <c r="C56" s="86"/>
      <c r="D56" s="86"/>
      <c r="E56" s="86"/>
      <c r="F56" s="86"/>
      <c r="G56" s="86"/>
      <c r="H56" s="86"/>
      <c r="I56" s="86"/>
      <c r="J56" s="86"/>
      <c r="K56" s="86"/>
      <c r="L56" s="86"/>
      <c r="M56" s="86"/>
      <c r="N56" s="12"/>
      <c r="R56" s="73"/>
    </row>
    <row r="57" spans="1:32" x14ac:dyDescent="0.25">
      <c r="A57" s="59"/>
      <c r="B57" s="12"/>
      <c r="C57" s="128"/>
      <c r="D57" s="12"/>
      <c r="E57" s="128"/>
      <c r="F57" s="12"/>
      <c r="G57" s="128"/>
      <c r="H57" s="128"/>
      <c r="I57" s="128"/>
      <c r="J57" s="128"/>
      <c r="K57" s="128"/>
      <c r="L57" s="12"/>
      <c r="M57" s="12"/>
      <c r="N57" s="12"/>
      <c r="O57" s="12"/>
    </row>
    <row r="58" spans="1:32" ht="18.75" x14ac:dyDescent="0.25">
      <c r="A58" s="59"/>
      <c r="B58" s="73"/>
      <c r="C58" s="55"/>
      <c r="D58" s="73"/>
      <c r="E58" s="85"/>
      <c r="F58" s="54"/>
      <c r="G58" s="55"/>
      <c r="H58" s="113"/>
      <c r="I58" s="54"/>
      <c r="J58" s="55"/>
      <c r="K58" s="113"/>
      <c r="L58" s="73"/>
      <c r="M58" s="73"/>
      <c r="N58" s="73"/>
      <c r="O58" s="56"/>
      <c r="R58" s="73"/>
    </row>
    <row r="59" spans="1:32" x14ac:dyDescent="0.25">
      <c r="A59" s="238"/>
      <c r="B59" s="12"/>
      <c r="C59" s="128"/>
      <c r="D59" s="12"/>
      <c r="E59" s="128"/>
      <c r="F59" s="12"/>
      <c r="G59" s="128"/>
      <c r="H59" s="128"/>
      <c r="I59" s="128"/>
      <c r="J59" s="128"/>
      <c r="K59" s="128"/>
      <c r="L59" s="12"/>
      <c r="M59" s="12"/>
      <c r="N59" s="12"/>
      <c r="O59" s="12"/>
      <c r="S59" s="59"/>
      <c r="T59" s="86"/>
      <c r="U59" s="86"/>
      <c r="V59" s="86"/>
      <c r="W59" s="86"/>
      <c r="X59" s="86"/>
      <c r="Y59" s="86"/>
      <c r="Z59" s="86"/>
      <c r="AA59" s="86"/>
      <c r="AB59" s="86"/>
      <c r="AC59" s="86"/>
      <c r="AD59" s="86"/>
      <c r="AE59" s="86"/>
      <c r="AF59" s="12"/>
    </row>
    <row r="60" spans="1:32" ht="18.75" x14ac:dyDescent="0.25">
      <c r="A60" s="59"/>
      <c r="B60" s="73"/>
      <c r="C60" s="55"/>
      <c r="D60" s="73"/>
      <c r="E60" s="85"/>
      <c r="F60" s="54"/>
      <c r="G60" s="55"/>
      <c r="H60" s="113"/>
      <c r="I60" s="54"/>
      <c r="J60" s="55"/>
      <c r="K60" s="113"/>
      <c r="L60" s="73"/>
      <c r="M60" s="73"/>
      <c r="N60" s="73"/>
      <c r="O60" s="56"/>
      <c r="R60" s="73"/>
      <c r="S60" s="59"/>
      <c r="T60" s="54"/>
      <c r="U60" s="55"/>
      <c r="V60" s="54"/>
      <c r="W60" s="55"/>
      <c r="X60" s="54"/>
      <c r="Y60" s="58"/>
      <c r="Z60" s="54"/>
      <c r="AA60" s="55"/>
      <c r="AB60" s="58"/>
      <c r="AC60" s="54"/>
      <c r="AD60" s="54"/>
      <c r="AE60" s="54"/>
      <c r="AF60" s="56"/>
    </row>
    <row r="61" spans="1:32" x14ac:dyDescent="0.25">
      <c r="A61" s="238"/>
      <c r="B61" s="12"/>
      <c r="C61" s="128"/>
      <c r="D61" s="12"/>
      <c r="E61" s="128"/>
      <c r="F61" s="12"/>
      <c r="G61" s="128"/>
      <c r="H61" s="128"/>
      <c r="I61" s="128"/>
      <c r="J61" s="128"/>
      <c r="K61" s="128"/>
      <c r="L61" s="12"/>
      <c r="M61" s="12"/>
      <c r="N61" s="12"/>
      <c r="O61" s="12"/>
      <c r="S61" s="238"/>
      <c r="T61" s="86"/>
      <c r="U61" s="86"/>
      <c r="V61" s="86"/>
      <c r="W61" s="86"/>
      <c r="X61" s="86"/>
      <c r="Y61" s="86"/>
      <c r="Z61" s="86"/>
      <c r="AA61" s="86"/>
      <c r="AB61" s="86"/>
      <c r="AC61" s="86"/>
      <c r="AD61" s="86"/>
      <c r="AE61" s="86"/>
      <c r="AF61" s="12"/>
    </row>
    <row r="62" spans="1:32" ht="18.75" x14ac:dyDescent="0.25">
      <c r="A62" s="73"/>
      <c r="B62" s="55"/>
      <c r="C62" s="73"/>
      <c r="D62" s="85"/>
      <c r="E62" s="73"/>
      <c r="F62" s="85"/>
      <c r="G62" s="73"/>
      <c r="H62" s="85"/>
      <c r="I62" s="58"/>
      <c r="J62" s="73"/>
      <c r="K62" s="73"/>
      <c r="L62" s="73"/>
      <c r="M62" s="56"/>
      <c r="P62" s="52"/>
    </row>
    <row r="63" spans="1:32" ht="18.75" x14ac:dyDescent="0.25">
      <c r="A63" s="59"/>
      <c r="B63" s="54"/>
      <c r="C63" s="55"/>
      <c r="D63" s="54"/>
      <c r="E63" s="55"/>
      <c r="F63" s="54"/>
      <c r="G63" s="55"/>
      <c r="H63" s="54"/>
      <c r="I63" s="55"/>
      <c r="J63" s="113"/>
      <c r="K63" s="54"/>
      <c r="L63" s="54"/>
      <c r="M63" s="54"/>
      <c r="N63" s="56"/>
      <c r="O63" s="152"/>
      <c r="P63" s="152"/>
    </row>
    <row r="64" spans="1:32" x14ac:dyDescent="0.25">
      <c r="A64" s="59"/>
      <c r="B64" s="86"/>
      <c r="C64" s="86"/>
      <c r="D64" s="86"/>
      <c r="E64" s="86"/>
      <c r="F64" s="86"/>
      <c r="G64" s="86"/>
      <c r="H64" s="86"/>
      <c r="I64" s="86"/>
      <c r="J64" s="86"/>
      <c r="K64" s="86"/>
      <c r="L64" s="86"/>
      <c r="M64" s="86"/>
      <c r="N64" s="12"/>
      <c r="O64" s="12"/>
      <c r="P64" s="12"/>
    </row>
    <row r="65" spans="1:16" ht="18.75" x14ac:dyDescent="0.25">
      <c r="A65" s="59"/>
      <c r="B65" s="73"/>
      <c r="C65" s="55"/>
      <c r="D65" s="73"/>
      <c r="E65" s="85"/>
      <c r="F65" s="73"/>
      <c r="G65" s="85"/>
      <c r="H65" s="73"/>
      <c r="I65" s="85"/>
      <c r="J65" s="58"/>
      <c r="K65" s="73"/>
      <c r="L65" s="73"/>
      <c r="M65" s="73"/>
      <c r="N65" s="56"/>
    </row>
    <row r="66" spans="1:16" x14ac:dyDescent="0.25">
      <c r="A66" s="59"/>
      <c r="B66" s="86"/>
      <c r="C66" s="86"/>
      <c r="D66" s="86"/>
      <c r="E66" s="86"/>
      <c r="F66" s="86"/>
      <c r="G66" s="86"/>
      <c r="H66" s="86"/>
      <c r="I66" s="86"/>
      <c r="J66" s="86"/>
      <c r="K66" s="86"/>
      <c r="L66" s="86"/>
      <c r="M66" s="86"/>
      <c r="N66" s="12"/>
    </row>
    <row r="67" spans="1:16" ht="18.75" x14ac:dyDescent="0.25">
      <c r="A67" s="59"/>
      <c r="B67" s="73"/>
      <c r="C67" s="55"/>
      <c r="D67" s="73"/>
      <c r="E67" s="85"/>
      <c r="F67" s="73"/>
      <c r="G67" s="85"/>
      <c r="H67" s="73"/>
      <c r="I67" s="85"/>
      <c r="J67" s="58"/>
      <c r="K67" s="73"/>
      <c r="L67" s="73"/>
      <c r="M67" s="73"/>
      <c r="N67" s="56"/>
    </row>
    <row r="68" spans="1:16" x14ac:dyDescent="0.25">
      <c r="A68" s="59"/>
      <c r="B68" s="86"/>
      <c r="C68" s="86"/>
      <c r="D68" s="86"/>
      <c r="E68" s="86"/>
      <c r="F68" s="86"/>
      <c r="G68" s="86"/>
      <c r="H68" s="86"/>
      <c r="I68" s="86"/>
      <c r="J68" s="86"/>
      <c r="K68" s="86"/>
      <c r="L68" s="86"/>
      <c r="M68" s="86"/>
      <c r="N68" s="12"/>
    </row>
    <row r="69" spans="1:16" ht="18.75" x14ac:dyDescent="0.25">
      <c r="A69" s="59"/>
      <c r="B69" s="73"/>
      <c r="C69" s="55"/>
      <c r="D69" s="73"/>
      <c r="E69" s="85"/>
      <c r="F69" s="73"/>
      <c r="G69" s="85"/>
      <c r="H69" s="73"/>
      <c r="I69" s="85"/>
      <c r="J69" s="58"/>
      <c r="K69" s="73"/>
      <c r="L69" s="73"/>
      <c r="M69" s="73"/>
      <c r="N69" s="56"/>
    </row>
    <row r="70" spans="1:16" x14ac:dyDescent="0.25">
      <c r="A70" s="238"/>
      <c r="B70" s="86"/>
      <c r="C70" s="86"/>
      <c r="D70" s="86"/>
      <c r="E70" s="86"/>
      <c r="F70" s="86"/>
      <c r="G70" s="86"/>
      <c r="H70" s="86"/>
      <c r="I70" s="86"/>
      <c r="J70" s="86"/>
      <c r="K70" s="86"/>
      <c r="L70" s="86"/>
      <c r="M70" s="86"/>
      <c r="N70" s="12"/>
    </row>
    <row r="71" spans="1:16" x14ac:dyDescent="0.25">
      <c r="A71" s="59"/>
      <c r="B71" s="86"/>
      <c r="C71" s="86"/>
      <c r="D71" s="86"/>
      <c r="E71" s="86"/>
      <c r="F71" s="86"/>
      <c r="G71" s="86"/>
      <c r="H71" s="86"/>
      <c r="I71" s="86"/>
      <c r="J71" s="86"/>
      <c r="K71" s="86"/>
      <c r="L71" s="86"/>
      <c r="M71" s="86"/>
      <c r="N71" s="12"/>
    </row>
    <row r="72" spans="1:16" ht="18.75" x14ac:dyDescent="0.25">
      <c r="A72" s="59"/>
      <c r="B72" s="73"/>
      <c r="C72" s="85"/>
      <c r="D72" s="73"/>
      <c r="E72" s="85"/>
      <c r="F72" s="73"/>
      <c r="G72" s="85"/>
      <c r="H72" s="73"/>
      <c r="I72" s="85"/>
      <c r="J72" s="58"/>
      <c r="K72" s="73"/>
      <c r="L72" s="73"/>
      <c r="M72" s="73"/>
      <c r="N72" s="56"/>
    </row>
    <row r="73" spans="1:16" x14ac:dyDescent="0.25">
      <c r="A73" s="59"/>
      <c r="B73" s="86"/>
      <c r="C73" s="86"/>
      <c r="D73" s="86"/>
      <c r="E73" s="86"/>
      <c r="F73" s="86"/>
      <c r="G73" s="86"/>
      <c r="H73" s="86"/>
      <c r="I73" s="86"/>
      <c r="J73" s="86"/>
      <c r="K73" s="86"/>
      <c r="L73" s="86"/>
      <c r="M73" s="86"/>
      <c r="N73" s="12"/>
    </row>
    <row r="74" spans="1:16" ht="18.75" x14ac:dyDescent="0.25">
      <c r="A74" s="59"/>
      <c r="B74" s="73"/>
      <c r="C74" s="85"/>
      <c r="D74" s="73"/>
      <c r="E74" s="85"/>
      <c r="F74" s="73"/>
      <c r="G74" s="85"/>
      <c r="H74" s="73"/>
      <c r="I74" s="85"/>
      <c r="J74" s="58"/>
      <c r="K74" s="73"/>
      <c r="L74" s="73"/>
      <c r="M74" s="73"/>
      <c r="N74" s="56"/>
    </row>
    <row r="75" spans="1:16" ht="18.75" x14ac:dyDescent="0.25">
      <c r="A75" s="73"/>
      <c r="B75" s="55"/>
      <c r="C75" s="73"/>
      <c r="D75" s="85"/>
      <c r="E75" s="73"/>
      <c r="F75" s="85"/>
      <c r="G75" s="73"/>
      <c r="H75" s="85"/>
      <c r="I75" s="58"/>
      <c r="J75" s="73"/>
      <c r="K75" s="73"/>
      <c r="L75" s="73"/>
      <c r="M75" s="56"/>
      <c r="P75" s="52"/>
    </row>
    <row r="76" spans="1:16" ht="18.75" x14ac:dyDescent="0.25">
      <c r="A76" s="59"/>
      <c r="B76" s="54"/>
      <c r="C76" s="55"/>
      <c r="D76" s="54"/>
      <c r="E76" s="55"/>
      <c r="F76" s="54"/>
      <c r="G76" s="55"/>
      <c r="H76" s="54"/>
      <c r="I76" s="55"/>
      <c r="J76" s="113"/>
      <c r="K76" s="54"/>
      <c r="L76" s="54"/>
      <c r="M76" s="54"/>
      <c r="N76" s="56"/>
      <c r="O76" s="152"/>
      <c r="P76" s="152"/>
    </row>
    <row r="77" spans="1:16" x14ac:dyDescent="0.25">
      <c r="A77" s="59"/>
      <c r="B77" s="86"/>
      <c r="C77" s="86"/>
      <c r="D77" s="86"/>
      <c r="E77" s="86"/>
      <c r="F77" s="86"/>
      <c r="G77" s="86"/>
      <c r="H77" s="86"/>
      <c r="I77" s="86"/>
      <c r="J77" s="86"/>
      <c r="K77" s="86"/>
      <c r="L77" s="86"/>
      <c r="M77" s="86"/>
      <c r="N77" s="12"/>
      <c r="O77" s="12"/>
      <c r="P77" s="12"/>
    </row>
    <row r="78" spans="1:16" ht="18.75" x14ac:dyDescent="0.25">
      <c r="A78" s="59"/>
      <c r="B78" s="73"/>
      <c r="C78" s="55"/>
      <c r="D78" s="73"/>
      <c r="E78" s="85"/>
      <c r="F78" s="73"/>
      <c r="G78" s="85"/>
      <c r="H78" s="73"/>
      <c r="I78" s="85"/>
      <c r="J78" s="58"/>
      <c r="K78" s="73"/>
      <c r="L78" s="73"/>
      <c r="M78" s="73"/>
      <c r="N78" s="56"/>
    </row>
    <row r="79" spans="1:16" x14ac:dyDescent="0.25">
      <c r="A79" s="59"/>
      <c r="B79" s="86"/>
      <c r="C79" s="86"/>
      <c r="D79" s="86"/>
      <c r="E79" s="86"/>
      <c r="F79" s="86"/>
      <c r="G79" s="86"/>
      <c r="H79" s="86"/>
      <c r="I79" s="86"/>
      <c r="J79" s="86"/>
      <c r="K79" s="86"/>
      <c r="L79" s="86"/>
      <c r="M79" s="86"/>
      <c r="N79" s="12"/>
    </row>
    <row r="80" spans="1:16" ht="18.75" x14ac:dyDescent="0.25">
      <c r="A80" s="59"/>
      <c r="B80" s="73"/>
      <c r="C80" s="55"/>
      <c r="D80" s="73"/>
      <c r="E80" s="85"/>
      <c r="F80" s="73"/>
      <c r="G80" s="85"/>
      <c r="H80" s="73"/>
      <c r="I80" s="85"/>
      <c r="J80" s="58"/>
      <c r="K80" s="73"/>
      <c r="L80" s="73"/>
      <c r="M80" s="73"/>
      <c r="N80" s="56"/>
    </row>
    <row r="81" spans="1:34" x14ac:dyDescent="0.25">
      <c r="A81" s="59"/>
      <c r="B81" s="86"/>
      <c r="C81" s="86"/>
      <c r="D81" s="86"/>
      <c r="E81" s="86"/>
      <c r="F81" s="86"/>
      <c r="G81" s="86"/>
      <c r="H81" s="86"/>
      <c r="I81" s="86"/>
      <c r="J81" s="86"/>
      <c r="K81" s="86"/>
      <c r="L81" s="86"/>
      <c r="M81" s="86"/>
      <c r="N81" s="12"/>
    </row>
    <row r="82" spans="1:34" ht="18.75" x14ac:dyDescent="0.25">
      <c r="A82" s="59"/>
      <c r="B82" s="73"/>
      <c r="C82" s="55"/>
      <c r="D82" s="73"/>
      <c r="E82" s="85"/>
      <c r="F82" s="73"/>
      <c r="G82" s="85"/>
      <c r="H82" s="73"/>
      <c r="I82" s="85"/>
      <c r="J82" s="58"/>
      <c r="K82" s="73"/>
      <c r="L82" s="73"/>
      <c r="M82" s="73"/>
      <c r="N82" s="56"/>
    </row>
    <row r="83" spans="1:34" x14ac:dyDescent="0.25">
      <c r="A83" s="238"/>
      <c r="B83" s="86"/>
      <c r="C83" s="86"/>
      <c r="D83" s="86"/>
      <c r="E83" s="86"/>
      <c r="F83" s="86"/>
      <c r="G83" s="86"/>
      <c r="H83" s="86"/>
      <c r="I83" s="86"/>
      <c r="J83" s="86"/>
      <c r="K83" s="86"/>
      <c r="L83" s="86"/>
      <c r="M83" s="86"/>
      <c r="N83" s="12"/>
    </row>
    <row r="84" spans="1:34" x14ac:dyDescent="0.25">
      <c r="A84" s="59"/>
      <c r="B84" s="86"/>
      <c r="C84" s="86"/>
      <c r="D84" s="86"/>
      <c r="E84" s="86"/>
      <c r="F84" s="86"/>
      <c r="G84" s="86"/>
      <c r="H84" s="86"/>
      <c r="I84" s="86"/>
      <c r="J84" s="86"/>
      <c r="K84" s="86"/>
      <c r="L84" s="86"/>
      <c r="M84" s="86"/>
      <c r="N84" s="12"/>
    </row>
    <row r="85" spans="1:34" ht="18.75" x14ac:dyDescent="0.25">
      <c r="A85" s="59"/>
      <c r="B85" s="73"/>
      <c r="C85" s="85"/>
      <c r="D85" s="73"/>
      <c r="E85" s="85"/>
      <c r="F85" s="73"/>
      <c r="G85" s="85"/>
      <c r="H85" s="73"/>
      <c r="I85" s="85"/>
      <c r="J85" s="58"/>
      <c r="K85" s="73"/>
      <c r="L85" s="73"/>
      <c r="M85" s="73"/>
      <c r="N85" s="56"/>
    </row>
    <row r="86" spans="1:34" x14ac:dyDescent="0.25">
      <c r="A86" s="238"/>
      <c r="B86" s="86"/>
      <c r="C86" s="86"/>
      <c r="D86" s="86"/>
      <c r="E86" s="86"/>
      <c r="F86" s="86"/>
      <c r="G86" s="86"/>
      <c r="H86" s="86"/>
      <c r="I86" s="86"/>
      <c r="J86" s="86"/>
      <c r="K86" s="86"/>
      <c r="L86" s="86"/>
      <c r="M86" s="86"/>
      <c r="N86" s="12"/>
    </row>
    <row r="87" spans="1:34" ht="18.75" x14ac:dyDescent="0.25">
      <c r="A87" s="59"/>
      <c r="B87" s="73"/>
      <c r="C87" s="85"/>
      <c r="D87" s="73"/>
      <c r="E87" s="85"/>
      <c r="F87" s="73"/>
      <c r="G87" s="85"/>
      <c r="H87" s="73"/>
      <c r="I87" s="85"/>
      <c r="J87" s="58"/>
      <c r="K87" s="73"/>
      <c r="L87" s="73"/>
      <c r="M87" s="73"/>
      <c r="N87" s="56"/>
    </row>
    <row r="88" spans="1:34" ht="18.75" x14ac:dyDescent="0.25">
      <c r="A88" s="73"/>
      <c r="B88" s="55"/>
      <c r="C88" s="73"/>
      <c r="D88" s="85"/>
      <c r="E88" s="73"/>
      <c r="F88" s="85"/>
      <c r="G88" s="73"/>
      <c r="H88" s="85"/>
      <c r="I88" s="58"/>
      <c r="J88" s="73"/>
      <c r="K88" s="73"/>
      <c r="L88" s="73"/>
      <c r="M88" s="56"/>
      <c r="P88" s="52"/>
    </row>
    <row r="89" spans="1:34" ht="18.75" x14ac:dyDescent="0.25">
      <c r="A89" s="59"/>
      <c r="B89" s="54"/>
      <c r="C89" s="55"/>
      <c r="D89" s="54"/>
      <c r="E89" s="55"/>
      <c r="F89" s="54"/>
      <c r="G89" s="55"/>
      <c r="H89" s="54"/>
      <c r="I89" s="55"/>
      <c r="J89" s="113"/>
      <c r="K89" s="54"/>
      <c r="L89" s="54"/>
      <c r="M89" s="54"/>
      <c r="N89" s="56"/>
      <c r="O89" s="152"/>
      <c r="P89" s="152"/>
    </row>
    <row r="90" spans="1:34" x14ac:dyDescent="0.25">
      <c r="A90" s="59"/>
      <c r="B90" s="86"/>
      <c r="C90" s="86"/>
      <c r="D90" s="86"/>
      <c r="E90" s="86"/>
      <c r="F90" s="86"/>
      <c r="G90" s="86"/>
      <c r="H90" s="86"/>
      <c r="I90" s="86"/>
      <c r="J90" s="86"/>
      <c r="K90" s="86"/>
      <c r="L90" s="86"/>
      <c r="M90" s="86"/>
      <c r="N90" s="12"/>
      <c r="O90" s="12"/>
      <c r="P90" s="12"/>
    </row>
    <row r="91" spans="1:34" ht="18.75" x14ac:dyDescent="0.25">
      <c r="A91" s="59"/>
      <c r="B91" s="73"/>
      <c r="C91" s="55"/>
      <c r="D91" s="73"/>
      <c r="E91" s="85"/>
      <c r="F91" s="73"/>
      <c r="G91" s="85"/>
      <c r="H91" s="73"/>
      <c r="I91" s="85"/>
      <c r="J91" s="58"/>
      <c r="K91" s="73"/>
      <c r="L91" s="73"/>
      <c r="M91" s="73"/>
      <c r="N91" s="56"/>
      <c r="Q91" s="52"/>
      <c r="S91" s="114"/>
      <c r="AG91" s="52"/>
      <c r="AH91" s="52"/>
    </row>
    <row r="92" spans="1:34" ht="18.75" x14ac:dyDescent="0.25">
      <c r="A92" s="59"/>
      <c r="B92" s="86"/>
      <c r="C92" s="86"/>
      <c r="D92" s="86"/>
      <c r="E92" s="86"/>
      <c r="F92" s="86"/>
      <c r="G92" s="86"/>
      <c r="H92" s="86"/>
      <c r="I92" s="86"/>
      <c r="J92" s="86"/>
      <c r="K92" s="86"/>
      <c r="L92" s="86"/>
      <c r="M92" s="86"/>
      <c r="N92" s="12"/>
      <c r="Q92" s="2"/>
      <c r="S92" s="59"/>
      <c r="T92" s="54"/>
      <c r="U92" s="55"/>
      <c r="V92" s="54"/>
      <c r="W92" s="55"/>
      <c r="X92" s="54"/>
      <c r="Y92" s="58"/>
      <c r="Z92" s="54"/>
      <c r="AA92" s="55"/>
      <c r="AB92" s="58"/>
      <c r="AC92" s="54"/>
      <c r="AD92" s="54"/>
      <c r="AE92" s="54"/>
      <c r="AF92" s="56"/>
      <c r="AG92" s="2"/>
      <c r="AH92" s="2"/>
    </row>
    <row r="93" spans="1:34" ht="18.75" x14ac:dyDescent="0.25">
      <c r="A93" s="59"/>
      <c r="B93" s="73"/>
      <c r="C93" s="55"/>
      <c r="D93" s="73"/>
      <c r="E93" s="85"/>
      <c r="F93" s="73"/>
      <c r="G93" s="85"/>
      <c r="H93" s="73"/>
      <c r="I93" s="85"/>
      <c r="J93" s="58"/>
      <c r="K93" s="73"/>
      <c r="L93" s="73"/>
      <c r="M93" s="73"/>
      <c r="N93" s="56"/>
      <c r="Q93" s="12"/>
      <c r="S93" s="59"/>
      <c r="T93" s="86"/>
      <c r="U93" s="86"/>
      <c r="V93" s="86"/>
      <c r="W93" s="86"/>
      <c r="X93" s="86"/>
      <c r="Y93" s="86"/>
      <c r="Z93" s="86"/>
      <c r="AA93" s="86"/>
      <c r="AB93" s="86"/>
      <c r="AC93" s="86"/>
      <c r="AD93" s="86"/>
      <c r="AE93" s="86"/>
      <c r="AF93" s="12"/>
      <c r="AG93" s="12"/>
      <c r="AH93" s="12"/>
    </row>
    <row r="94" spans="1:34" ht="18.75" x14ac:dyDescent="0.25">
      <c r="A94" s="59"/>
      <c r="B94" s="86"/>
      <c r="C94" s="86"/>
      <c r="D94" s="86"/>
      <c r="E94" s="86"/>
      <c r="F94" s="86"/>
      <c r="G94" s="86"/>
      <c r="H94" s="86"/>
      <c r="I94" s="86"/>
      <c r="J94" s="86"/>
      <c r="K94" s="86"/>
      <c r="L94" s="86"/>
      <c r="M94" s="86"/>
      <c r="N94" s="12"/>
      <c r="T94" s="54"/>
      <c r="U94" s="55"/>
      <c r="V94" s="54"/>
      <c r="W94" s="55"/>
      <c r="X94" s="54"/>
      <c r="Y94" s="58"/>
      <c r="Z94" s="54"/>
      <c r="AA94" s="55"/>
      <c r="AB94" s="58"/>
      <c r="AC94" s="54"/>
      <c r="AD94" s="54"/>
      <c r="AE94" s="54"/>
      <c r="AF94" s="56"/>
    </row>
    <row r="95" spans="1:34" ht="18.75" x14ac:dyDescent="0.25">
      <c r="A95" s="59"/>
      <c r="B95" s="73"/>
      <c r="C95" s="55"/>
      <c r="D95" s="73"/>
      <c r="E95" s="85"/>
      <c r="F95" s="73"/>
      <c r="G95" s="85"/>
      <c r="H95" s="73"/>
      <c r="I95" s="85"/>
      <c r="J95" s="58"/>
      <c r="K95" s="73"/>
      <c r="L95" s="73"/>
      <c r="M95" s="73"/>
      <c r="N95" s="56"/>
      <c r="T95" s="86"/>
      <c r="U95" s="86"/>
      <c r="V95" s="86"/>
      <c r="W95" s="86"/>
      <c r="X95" s="86"/>
      <c r="Y95" s="86"/>
      <c r="Z95" s="86"/>
      <c r="AA95" s="86"/>
      <c r="AB95" s="86"/>
      <c r="AC95" s="86"/>
      <c r="AD95" s="86"/>
      <c r="AE95" s="86"/>
      <c r="AF95" s="12"/>
    </row>
    <row r="96" spans="1:34" ht="18.75" x14ac:dyDescent="0.25">
      <c r="A96" s="238"/>
      <c r="B96" s="86"/>
      <c r="C96" s="86"/>
      <c r="D96" s="86"/>
      <c r="E96" s="86"/>
      <c r="F96" s="86"/>
      <c r="G96" s="86"/>
      <c r="H96" s="86"/>
      <c r="I96" s="86"/>
      <c r="J96" s="86"/>
      <c r="K96" s="86"/>
      <c r="L96" s="86"/>
      <c r="M96" s="86"/>
      <c r="N96" s="12"/>
      <c r="S96" s="59"/>
      <c r="T96" s="54"/>
      <c r="U96" s="55"/>
      <c r="V96" s="54"/>
      <c r="W96" s="55"/>
      <c r="X96" s="54"/>
      <c r="Y96" s="58"/>
      <c r="Z96" s="54"/>
      <c r="AA96" s="55"/>
      <c r="AB96" s="58"/>
      <c r="AC96" s="54"/>
      <c r="AD96" s="54"/>
      <c r="AE96" s="54"/>
      <c r="AF96" s="56"/>
    </row>
    <row r="97" spans="1:32" x14ac:dyDescent="0.25">
      <c r="A97" s="59"/>
      <c r="B97" s="86"/>
      <c r="C97" s="86"/>
      <c r="D97" s="86"/>
      <c r="E97" s="86"/>
      <c r="F97" s="86"/>
      <c r="G97" s="128"/>
      <c r="H97" s="128"/>
      <c r="I97" s="128"/>
      <c r="J97" s="128"/>
      <c r="K97" s="128"/>
      <c r="L97" s="12"/>
      <c r="M97" s="12"/>
      <c r="N97" s="12"/>
      <c r="O97" s="12"/>
      <c r="S97" s="59"/>
      <c r="T97" s="86"/>
      <c r="U97" s="86"/>
      <c r="V97" s="86"/>
      <c r="W97" s="86"/>
      <c r="X97" s="86"/>
      <c r="Y97" s="86"/>
      <c r="Z97" s="86"/>
      <c r="AA97" s="86"/>
      <c r="AB97" s="86"/>
      <c r="AC97" s="86"/>
      <c r="AD97" s="86"/>
      <c r="AE97" s="86"/>
      <c r="AF97" s="12"/>
    </row>
    <row r="98" spans="1:32" ht="18.75" x14ac:dyDescent="0.25">
      <c r="A98" s="59"/>
      <c r="B98" s="73"/>
      <c r="C98" s="85"/>
      <c r="D98" s="73"/>
      <c r="E98" s="85"/>
      <c r="F98" s="73"/>
      <c r="G98" s="55"/>
      <c r="H98" s="113"/>
      <c r="I98" s="54"/>
      <c r="J98" s="55"/>
      <c r="K98" s="113"/>
      <c r="L98" s="73"/>
      <c r="M98" s="73"/>
      <c r="N98" s="73"/>
      <c r="O98" s="56"/>
      <c r="S98" s="59"/>
      <c r="T98" s="54"/>
      <c r="U98" s="55"/>
      <c r="V98" s="54"/>
      <c r="W98" s="55"/>
      <c r="X98" s="54"/>
      <c r="Y98" s="58"/>
      <c r="Z98" s="54"/>
      <c r="AA98" s="55"/>
      <c r="AB98" s="58"/>
      <c r="AC98" s="54"/>
      <c r="AD98" s="54"/>
      <c r="AE98" s="54"/>
      <c r="AF98" s="56"/>
    </row>
    <row r="99" spans="1:32" x14ac:dyDescent="0.25">
      <c r="A99" s="238"/>
      <c r="B99" s="86"/>
      <c r="C99" s="86"/>
      <c r="D99" s="86"/>
      <c r="E99" s="86"/>
      <c r="F99" s="86"/>
      <c r="G99" s="128"/>
      <c r="H99" s="128"/>
      <c r="I99" s="128"/>
      <c r="J99" s="128"/>
      <c r="K99" s="128"/>
      <c r="L99" s="12"/>
      <c r="M99" s="12"/>
      <c r="N99" s="12"/>
      <c r="O99" s="12"/>
      <c r="S99" s="59"/>
      <c r="T99" s="86"/>
      <c r="U99" s="86"/>
      <c r="V99" s="86"/>
      <c r="W99" s="86"/>
      <c r="X99" s="86"/>
      <c r="Y99" s="86"/>
      <c r="Z99" s="86"/>
      <c r="AA99" s="86"/>
      <c r="AB99" s="86"/>
      <c r="AC99" s="86"/>
      <c r="AD99" s="86"/>
      <c r="AE99" s="86"/>
      <c r="AF99" s="12"/>
    </row>
    <row r="100" spans="1:32" ht="18.75" x14ac:dyDescent="0.25">
      <c r="A100" s="59"/>
      <c r="B100" s="73"/>
      <c r="C100" s="85"/>
      <c r="D100" s="73"/>
      <c r="E100" s="85"/>
      <c r="F100" s="73"/>
      <c r="G100" s="55"/>
      <c r="H100" s="113"/>
      <c r="I100" s="54"/>
      <c r="J100" s="55"/>
      <c r="K100" s="113"/>
      <c r="L100" s="73"/>
      <c r="M100" s="73"/>
      <c r="N100" s="73"/>
      <c r="O100" s="56"/>
      <c r="S100" s="59"/>
      <c r="T100" s="54"/>
      <c r="U100" s="55"/>
      <c r="V100" s="54"/>
      <c r="W100" s="55"/>
      <c r="X100" s="54"/>
      <c r="Y100" s="58"/>
      <c r="Z100" s="54"/>
      <c r="AA100" s="55"/>
      <c r="AB100" s="58"/>
      <c r="AC100" s="54"/>
      <c r="AD100" s="54"/>
      <c r="AE100" s="54"/>
      <c r="AF100" s="56"/>
    </row>
    <row r="101" spans="1:32" x14ac:dyDescent="0.25">
      <c r="A101" s="238"/>
      <c r="B101" s="86"/>
      <c r="C101" s="86"/>
      <c r="D101" s="86"/>
      <c r="E101" s="86"/>
      <c r="F101" s="86"/>
      <c r="G101" s="128"/>
      <c r="H101" s="128"/>
      <c r="I101" s="128"/>
      <c r="J101" s="128"/>
      <c r="K101" s="128"/>
      <c r="L101" s="12"/>
      <c r="M101" s="12"/>
      <c r="N101" s="12"/>
      <c r="O101" s="12"/>
      <c r="S101" s="238"/>
      <c r="T101" s="86"/>
      <c r="U101" s="86"/>
      <c r="V101" s="86"/>
      <c r="W101" s="86"/>
      <c r="X101" s="86"/>
      <c r="Y101" s="86"/>
      <c r="Z101" s="86"/>
      <c r="AA101" s="86"/>
      <c r="AB101" s="86"/>
      <c r="AC101" s="86"/>
      <c r="AD101" s="86"/>
      <c r="AE101" s="86"/>
      <c r="AF101" s="12"/>
    </row>
  </sheetData>
  <mergeCells count="12">
    <mergeCell ref="M13:M14"/>
    <mergeCell ref="M15:M16"/>
    <mergeCell ref="A13:A14"/>
    <mergeCell ref="A15:A16"/>
    <mergeCell ref="A1:B1"/>
    <mergeCell ref="C1:D1"/>
    <mergeCell ref="E1:F1"/>
    <mergeCell ref="A5:F5"/>
    <mergeCell ref="M10:W10"/>
    <mergeCell ref="M11:W11"/>
    <mergeCell ref="A10:K10"/>
    <mergeCell ref="A11:K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1"/>
  <sheetViews>
    <sheetView zoomScale="80" zoomScaleNormal="80" workbookViewId="0">
      <selection activeCell="S11" sqref="S11"/>
    </sheetView>
  </sheetViews>
  <sheetFormatPr defaultRowHeight="15" x14ac:dyDescent="0.25"/>
  <cols>
    <col min="1" max="1" width="8.140625" customWidth="1"/>
    <col min="2" max="2" width="8.85546875" customWidth="1"/>
    <col min="3" max="3" width="11.42578125" customWidth="1"/>
    <col min="4" max="4" width="10.140625" customWidth="1"/>
    <col min="5" max="5" width="11.42578125" customWidth="1"/>
    <col min="6" max="6" width="10.28515625" customWidth="1"/>
    <col min="7" max="7" width="11.28515625" customWidth="1"/>
    <col min="8" max="9" width="10.5703125" customWidth="1"/>
    <col min="10" max="10" width="9.140625" customWidth="1"/>
    <col min="11" max="11" width="10.140625" customWidth="1"/>
    <col min="12" max="12" width="8.140625" customWidth="1"/>
    <col min="13" max="13" width="9.5703125" customWidth="1"/>
    <col min="14" max="14" width="8.5703125" customWidth="1"/>
    <col min="15" max="15" width="7.5703125" customWidth="1"/>
    <col min="16" max="16" width="8.85546875" customWidth="1"/>
    <col min="17" max="17" width="8.7109375" bestFit="1" customWidth="1"/>
    <col min="18" max="18" width="10.140625" customWidth="1"/>
    <col min="19" max="19" width="8.85546875" bestFit="1" customWidth="1"/>
    <col min="20" max="20" width="7.5703125" customWidth="1"/>
    <col min="21" max="22" width="8.5703125" bestFit="1" customWidth="1"/>
  </cols>
  <sheetData>
    <row r="1" spans="1:32" ht="60" x14ac:dyDescent="0.25">
      <c r="A1" s="403" t="s">
        <v>156</v>
      </c>
      <c r="B1" s="403"/>
      <c r="C1" s="403"/>
      <c r="D1" s="410"/>
      <c r="E1" s="407" t="s">
        <v>177</v>
      </c>
      <c r="F1" s="409"/>
      <c r="G1" s="398" t="s">
        <v>293</v>
      </c>
      <c r="H1" s="399"/>
      <c r="I1" s="419" t="s">
        <v>146</v>
      </c>
      <c r="J1" s="419"/>
      <c r="K1" s="419"/>
      <c r="L1" s="419"/>
      <c r="M1" s="419"/>
      <c r="N1" s="127" t="s">
        <v>294</v>
      </c>
      <c r="O1" s="407" t="s">
        <v>178</v>
      </c>
      <c r="P1" s="409"/>
      <c r="Q1" s="398" t="s">
        <v>295</v>
      </c>
      <c r="R1" s="399"/>
      <c r="S1" s="419" t="s">
        <v>146</v>
      </c>
      <c r="T1" s="419"/>
      <c r="U1" s="419"/>
      <c r="V1" s="419"/>
      <c r="W1" s="419"/>
      <c r="X1" s="127" t="s">
        <v>296</v>
      </c>
      <c r="Y1" s="407" t="s">
        <v>99</v>
      </c>
      <c r="Z1" s="408"/>
      <c r="AA1" s="409"/>
    </row>
    <row r="2" spans="1:32" ht="60" x14ac:dyDescent="0.25">
      <c r="A2" s="125" t="s">
        <v>102</v>
      </c>
      <c r="B2" s="127" t="s">
        <v>100</v>
      </c>
      <c r="C2" s="109" t="s">
        <v>277</v>
      </c>
      <c r="D2" s="126" t="s">
        <v>276</v>
      </c>
      <c r="E2" s="125" t="s">
        <v>102</v>
      </c>
      <c r="F2" s="127" t="s">
        <v>187</v>
      </c>
      <c r="G2" s="109" t="s">
        <v>277</v>
      </c>
      <c r="H2" s="126" t="s">
        <v>276</v>
      </c>
      <c r="I2" s="110" t="s">
        <v>275</v>
      </c>
      <c r="J2" s="111" t="s">
        <v>278</v>
      </c>
      <c r="K2" s="194" t="s">
        <v>284</v>
      </c>
      <c r="L2" s="229" t="s">
        <v>445</v>
      </c>
      <c r="M2" s="110" t="s">
        <v>258</v>
      </c>
      <c r="N2" s="112" t="s">
        <v>274</v>
      </c>
      <c r="O2" s="125" t="s">
        <v>102</v>
      </c>
      <c r="P2" s="127" t="s">
        <v>100</v>
      </c>
      <c r="Q2" s="109" t="s">
        <v>141</v>
      </c>
      <c r="R2" s="126" t="s">
        <v>276</v>
      </c>
      <c r="S2" s="110" t="s">
        <v>275</v>
      </c>
      <c r="T2" s="111" t="s">
        <v>278</v>
      </c>
      <c r="U2" s="322" t="s">
        <v>284</v>
      </c>
      <c r="V2" s="229" t="s">
        <v>445</v>
      </c>
      <c r="W2" s="110" t="s">
        <v>258</v>
      </c>
      <c r="X2" s="112" t="s">
        <v>274</v>
      </c>
      <c r="Y2" s="200" t="s">
        <v>287</v>
      </c>
      <c r="Z2" s="200" t="s">
        <v>456</v>
      </c>
      <c r="AA2" s="112" t="s">
        <v>258</v>
      </c>
    </row>
    <row r="3" spans="1:32" x14ac:dyDescent="0.25">
      <c r="A3" s="129">
        <v>0.3</v>
      </c>
      <c r="B3" s="129">
        <v>0.6</v>
      </c>
      <c r="C3" s="129">
        <v>25</v>
      </c>
      <c r="D3" s="129">
        <f>A3*B3*C3</f>
        <v>4.5</v>
      </c>
      <c r="E3" s="129">
        <f>'Dimens. Travi Emergen.'!F4/100</f>
        <v>0.3</v>
      </c>
      <c r="F3" s="20">
        <f>'Analisi dei Carichi Trave Emer'!B3</f>
        <v>0.6</v>
      </c>
      <c r="G3" s="129">
        <v>25</v>
      </c>
      <c r="H3" s="129">
        <f>E3*F3*G3</f>
        <v>4.5</v>
      </c>
      <c r="I3" s="20">
        <f>'Analisi dei Carichi Solaio VI'!E12</f>
        <v>3.4000000000000004</v>
      </c>
      <c r="J3" s="129">
        <f>E3*I3</f>
        <v>1.02</v>
      </c>
      <c r="K3" s="197">
        <f>'Analisi dei Carichi Solaio VI'!J13</f>
        <v>0.97500000000000009</v>
      </c>
      <c r="L3" s="232">
        <f>'Analisi dei Carichi Solaio VI'!I14*'Analisi dei Carichi Solaio VI'!H14*1+'Analisi dei Carichi Solaio VI'!I15*'Analisi dei Carichi Solaio VI'!H15*1</f>
        <v>2.14</v>
      </c>
      <c r="M3" s="20">
        <f>'Analisi dei Carichi Solaio VI'!E20</f>
        <v>2</v>
      </c>
      <c r="N3" s="129">
        <f>H3-J3</f>
        <v>3.48</v>
      </c>
      <c r="O3" s="129">
        <f>'Analisi dei Carichi Trave Spes'!A3</f>
        <v>1</v>
      </c>
      <c r="P3" s="129">
        <f>'Analisi dei Carichi Trave Spes'!B3</f>
        <v>0.24000000000000002</v>
      </c>
      <c r="Q3" s="129">
        <f>'Analisi dei Carichi Trave Spes'!C3</f>
        <v>25</v>
      </c>
      <c r="R3" s="129">
        <f>Q3*O3*P3</f>
        <v>6.0000000000000009</v>
      </c>
      <c r="S3" s="20">
        <f>'Analisi dei Carichi Solaio VI'!E12</f>
        <v>3.4000000000000004</v>
      </c>
      <c r="T3" s="129">
        <f>S3*O3</f>
        <v>3.4000000000000004</v>
      </c>
      <c r="U3" s="232">
        <f>'Analisi dei Carichi Solaio VI'!J13</f>
        <v>0.97500000000000009</v>
      </c>
      <c r="V3" s="232">
        <f>'Analisi dei Carichi Solaio VI'!J14+'Analisi dei Carichi Solaio VI'!J15</f>
        <v>6.1020000000000003</v>
      </c>
      <c r="W3" s="20">
        <f>'Analisi dei Carichi Solaio VI'!E20</f>
        <v>2</v>
      </c>
      <c r="X3" s="232">
        <f>R3-T3</f>
        <v>2.6000000000000005</v>
      </c>
      <c r="Y3" s="20">
        <f>'Analisi dei Carichi Solaio VI'!O12</f>
        <v>2.6</v>
      </c>
      <c r="Z3" s="20">
        <f>'Analisi dei Carichi Solaio VI'!T12</f>
        <v>0.97500000000000009</v>
      </c>
      <c r="AA3" s="20">
        <f>'Analisi dei Carichi Solaio VI'!P20</f>
        <v>4</v>
      </c>
    </row>
    <row r="5" spans="1:32" ht="15.75" x14ac:dyDescent="0.25">
      <c r="A5" s="404" t="s">
        <v>171</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6"/>
    </row>
    <row r="6" spans="1:32" x14ac:dyDescent="0.25">
      <c r="A6" s="398"/>
      <c r="B6" s="399"/>
      <c r="C6" s="399"/>
      <c r="D6" s="399"/>
      <c r="E6" s="399"/>
      <c r="F6" s="399"/>
      <c r="G6" s="399"/>
      <c r="H6" s="400"/>
      <c r="I6" s="398" t="s">
        <v>168</v>
      </c>
      <c r="J6" s="399"/>
      <c r="K6" s="399"/>
      <c r="L6" s="399"/>
      <c r="M6" s="399"/>
      <c r="N6" s="399"/>
      <c r="O6" s="399"/>
      <c r="P6" s="399"/>
      <c r="Q6" s="399"/>
      <c r="R6" s="399"/>
      <c r="S6" s="399"/>
      <c r="T6" s="399"/>
      <c r="U6" s="399"/>
      <c r="V6" s="399"/>
      <c r="W6" s="399"/>
      <c r="X6" s="399"/>
      <c r="Y6" s="400"/>
      <c r="Z6" s="398" t="s">
        <v>169</v>
      </c>
      <c r="AA6" s="399"/>
      <c r="AB6" s="399"/>
      <c r="AC6" s="399"/>
      <c r="AD6" s="399"/>
      <c r="AE6" s="399"/>
      <c r="AF6" s="400"/>
    </row>
    <row r="7" spans="1:32" ht="78.75" customHeight="1" x14ac:dyDescent="0.25">
      <c r="A7" s="124" t="s">
        <v>157</v>
      </c>
      <c r="B7" s="126" t="s">
        <v>158</v>
      </c>
      <c r="C7" s="126" t="s">
        <v>167</v>
      </c>
      <c r="D7" s="126" t="s">
        <v>167</v>
      </c>
      <c r="E7" s="194" t="s">
        <v>299</v>
      </c>
      <c r="F7" s="194" t="s">
        <v>299</v>
      </c>
      <c r="G7" s="126" t="s">
        <v>166</v>
      </c>
      <c r="H7" s="230" t="s">
        <v>300</v>
      </c>
      <c r="I7" s="126" t="s">
        <v>273</v>
      </c>
      <c r="J7" s="126" t="s">
        <v>310</v>
      </c>
      <c r="K7" s="126" t="s">
        <v>271</v>
      </c>
      <c r="L7" s="72" t="s">
        <v>269</v>
      </c>
      <c r="M7" s="245" t="s">
        <v>56</v>
      </c>
      <c r="N7" s="126" t="s">
        <v>270</v>
      </c>
      <c r="O7" s="194" t="s">
        <v>268</v>
      </c>
      <c r="P7" s="132" t="s">
        <v>57</v>
      </c>
      <c r="Q7" s="112" t="s">
        <v>311</v>
      </c>
      <c r="R7" s="132" t="s">
        <v>58</v>
      </c>
      <c r="S7" s="194" t="s">
        <v>298</v>
      </c>
      <c r="T7" s="138" t="s">
        <v>142</v>
      </c>
      <c r="U7" s="139" t="s">
        <v>137</v>
      </c>
      <c r="V7" s="111" t="s">
        <v>244</v>
      </c>
      <c r="W7" s="111" t="s">
        <v>243</v>
      </c>
      <c r="X7" s="111" t="s">
        <v>279</v>
      </c>
      <c r="Y7" s="133" t="s">
        <v>280</v>
      </c>
      <c r="Z7" s="134" t="s">
        <v>281</v>
      </c>
      <c r="AA7" s="111" t="s">
        <v>282</v>
      </c>
      <c r="AB7" s="135" t="s">
        <v>63</v>
      </c>
      <c r="AC7" s="111" t="s">
        <v>279</v>
      </c>
      <c r="AD7" s="196" t="s">
        <v>139</v>
      </c>
      <c r="AE7" s="241" t="s">
        <v>301</v>
      </c>
      <c r="AF7" s="133" t="s">
        <v>280</v>
      </c>
    </row>
    <row r="8" spans="1:32" x14ac:dyDescent="0.25">
      <c r="A8" s="197">
        <v>13</v>
      </c>
      <c r="B8" s="197">
        <v>2.7</v>
      </c>
      <c r="C8" s="197">
        <v>2.0249999999999999</v>
      </c>
      <c r="D8" s="197">
        <v>2.0249999999999999</v>
      </c>
      <c r="E8" s="197">
        <v>0</v>
      </c>
      <c r="F8" s="82">
        <v>0</v>
      </c>
      <c r="G8" s="20">
        <f>C8*D8</f>
        <v>4.100625</v>
      </c>
      <c r="H8" s="197">
        <f t="shared" ref="H8:H9" si="0">E8*F8</f>
        <v>0</v>
      </c>
      <c r="I8" s="117">
        <f>$D$3*B8</f>
        <v>12.15</v>
      </c>
      <c r="J8" s="20">
        <f>N3*(C8+D8)</f>
        <v>14.093999999999999</v>
      </c>
      <c r="K8" s="20">
        <f>I3*(G8)</f>
        <v>13.942125000000001</v>
      </c>
      <c r="L8" s="20">
        <f>$Y$3*H8</f>
        <v>0</v>
      </c>
      <c r="M8" s="129">
        <v>1.3</v>
      </c>
      <c r="N8" s="20">
        <f>K3*(G8)+L3*(C8+D8)</f>
        <v>12.665109375</v>
      </c>
      <c r="O8" s="20">
        <f>$Z$3*H8</f>
        <v>0</v>
      </c>
      <c r="P8" s="129">
        <v>1.5</v>
      </c>
      <c r="Q8" s="20">
        <f>M3*G8</f>
        <v>8.2012499999999999</v>
      </c>
      <c r="R8" s="20">
        <v>1.5</v>
      </c>
      <c r="S8" s="20">
        <f>$AA$3*H8</f>
        <v>0</v>
      </c>
      <c r="T8" s="20">
        <v>1.5</v>
      </c>
      <c r="U8" s="20">
        <v>1</v>
      </c>
      <c r="V8" s="20">
        <f>(I8+J8+K8+L8)*M8</f>
        <v>52.241962500000007</v>
      </c>
      <c r="W8" s="20">
        <f>(N8+O8)*P8</f>
        <v>18.9976640625</v>
      </c>
      <c r="X8" s="20">
        <f>Q8*R8+S8*T8*U8</f>
        <v>12.301874999999999</v>
      </c>
      <c r="Y8" s="20">
        <f>V8+W8+X8</f>
        <v>83.541501562500002</v>
      </c>
      <c r="Z8" s="20">
        <f>I8+J8+K8+L8</f>
        <v>40.186125000000004</v>
      </c>
      <c r="AA8" s="20">
        <f>N8+O8</f>
        <v>12.665109375</v>
      </c>
      <c r="AB8" s="20">
        <v>0.3</v>
      </c>
      <c r="AC8" s="20">
        <f>Q8*AB8</f>
        <v>2.460375</v>
      </c>
      <c r="AD8" s="20">
        <v>0.3</v>
      </c>
      <c r="AE8" s="20">
        <f>S8*AD8</f>
        <v>0</v>
      </c>
      <c r="AF8" s="20">
        <f>Z8+AA8+AC8+AE8</f>
        <v>55.311609375000003</v>
      </c>
    </row>
    <row r="9" spans="1:32" x14ac:dyDescent="0.25">
      <c r="A9" s="197">
        <v>26</v>
      </c>
      <c r="B9" s="197">
        <v>2.7</v>
      </c>
      <c r="C9" s="197">
        <v>2.3250000000000002</v>
      </c>
      <c r="D9" s="197">
        <v>2.25</v>
      </c>
      <c r="E9" s="197">
        <v>0</v>
      </c>
      <c r="F9" s="82">
        <v>0</v>
      </c>
      <c r="G9" s="20">
        <f>(C9+D9)*2.075/2</f>
        <v>4.7465625000000005</v>
      </c>
      <c r="H9" s="197">
        <f t="shared" si="0"/>
        <v>0</v>
      </c>
      <c r="I9" s="117">
        <f>$D$3*B9</f>
        <v>12.15</v>
      </c>
      <c r="J9" s="20">
        <f>X3*(2.0809)+N3*D9</f>
        <v>13.240340000000002</v>
      </c>
      <c r="K9" s="20">
        <f>S3*(G9)</f>
        <v>16.138312500000005</v>
      </c>
      <c r="L9" s="20">
        <f>$Y$3*H9</f>
        <v>0</v>
      </c>
      <c r="M9" s="129">
        <v>1.3</v>
      </c>
      <c r="N9" s="20">
        <f>K3*(G9)+L3*(2.075+D9)</f>
        <v>13.883398437500002</v>
      </c>
      <c r="O9" s="197">
        <f>$Z$3*H9</f>
        <v>0</v>
      </c>
      <c r="P9" s="129">
        <v>1.5</v>
      </c>
      <c r="Q9" s="20">
        <f>W3*G9</f>
        <v>9.4931250000000009</v>
      </c>
      <c r="R9" s="20">
        <v>1.5</v>
      </c>
      <c r="S9" s="20">
        <f>$AA$3*H9</f>
        <v>0</v>
      </c>
      <c r="T9" s="20">
        <v>1.5</v>
      </c>
      <c r="U9" s="20">
        <v>1</v>
      </c>
      <c r="V9" s="20">
        <f>(I9+J9+K9+L9)*M9</f>
        <v>53.987248250000007</v>
      </c>
      <c r="W9" s="20">
        <f t="shared" ref="W9:W10" si="1">(N9+O9)*P9</f>
        <v>20.825097656250001</v>
      </c>
      <c r="X9" s="20">
        <f t="shared" ref="X9:X10" si="2">Q9*R9+S9*T9*U9</f>
        <v>14.239687500000002</v>
      </c>
      <c r="Y9" s="20">
        <f>V9+W9+X9</f>
        <v>89.052033406250018</v>
      </c>
      <c r="Z9" s="20">
        <f t="shared" ref="Z9:Z10" si="3">I9+J9+K9+L9</f>
        <v>41.528652500000007</v>
      </c>
      <c r="AA9" s="20">
        <f t="shared" ref="AA9:AA10" si="4">N9+O9</f>
        <v>13.883398437500002</v>
      </c>
      <c r="AB9" s="20">
        <v>0.3</v>
      </c>
      <c r="AC9" s="20">
        <f>Q9*AB9</f>
        <v>2.8479375</v>
      </c>
      <c r="AD9" s="20">
        <v>0.3</v>
      </c>
      <c r="AE9" s="20">
        <f t="shared" ref="AE9:AE10" si="5">S9*AD9</f>
        <v>0</v>
      </c>
      <c r="AF9" s="20">
        <f>Z9+AA9+AC9+AE9</f>
        <v>58.259988437500013</v>
      </c>
    </row>
    <row r="10" spans="1:32" x14ac:dyDescent="0.25">
      <c r="A10" s="197">
        <v>1</v>
      </c>
      <c r="B10" s="197">
        <v>2.7</v>
      </c>
      <c r="C10" s="197">
        <v>2.75</v>
      </c>
      <c r="D10" s="197">
        <v>2.0249999999999999</v>
      </c>
      <c r="E10" s="197">
        <f>'Analisi dei Carichi Solaio VI'!$S$3-'Analisi dei Carichi Pilastr'!$E$3/2</f>
        <v>1.6</v>
      </c>
      <c r="F10" s="82">
        <v>1.4750000000000001</v>
      </c>
      <c r="G10" s="20">
        <f>C10*D10</f>
        <v>5.5687499999999996</v>
      </c>
      <c r="H10" s="197">
        <f>E10*F10</f>
        <v>2.3600000000000003</v>
      </c>
      <c r="I10" s="117">
        <f>$D$3*B10</f>
        <v>12.15</v>
      </c>
      <c r="J10" s="20">
        <f>N3*(C10+D10)</f>
        <v>16.617000000000001</v>
      </c>
      <c r="K10" s="20">
        <f>I3*G10</f>
        <v>18.93375</v>
      </c>
      <c r="L10" s="20">
        <f>$Y$3*H10</f>
        <v>6.136000000000001</v>
      </c>
      <c r="M10" s="20">
        <v>1.3</v>
      </c>
      <c r="N10" s="20">
        <f>K3*G10+L3*(C10+D10)</f>
        <v>15.648031250000001</v>
      </c>
      <c r="O10" s="20">
        <f>$Z$3*H10</f>
        <v>2.3010000000000006</v>
      </c>
      <c r="P10" s="20">
        <v>1.5</v>
      </c>
      <c r="Q10" s="197">
        <f>M3*G10</f>
        <v>11.137499999999999</v>
      </c>
      <c r="R10" s="20">
        <v>1.5</v>
      </c>
      <c r="S10" s="20">
        <f>$AA$3*H10</f>
        <v>9.4400000000000013</v>
      </c>
      <c r="T10" s="20">
        <v>1.5</v>
      </c>
      <c r="U10" s="20">
        <v>1</v>
      </c>
      <c r="V10" s="20">
        <f>(I10+J10+K10+L10)*M10</f>
        <v>69.987774999999999</v>
      </c>
      <c r="W10" s="20">
        <f t="shared" si="1"/>
        <v>26.923546875</v>
      </c>
      <c r="X10" s="20">
        <f t="shared" si="2"/>
        <v>30.866250000000001</v>
      </c>
      <c r="Y10" s="20">
        <f>V10+W10+X10</f>
        <v>127.77757187500001</v>
      </c>
      <c r="Z10" s="20">
        <f t="shared" si="3"/>
        <v>53.836750000000002</v>
      </c>
      <c r="AA10" s="20">
        <f t="shared" si="4"/>
        <v>17.949031250000001</v>
      </c>
      <c r="AB10" s="197">
        <v>0.3</v>
      </c>
      <c r="AC10" s="20">
        <f>Q10*AB10</f>
        <v>3.3412499999999996</v>
      </c>
      <c r="AD10" s="20">
        <v>0.3</v>
      </c>
      <c r="AE10" s="20">
        <f t="shared" si="5"/>
        <v>2.8320000000000003</v>
      </c>
      <c r="AF10" s="20">
        <f>Z10+AA10+AC10+AE10</f>
        <v>77.959031249999995</v>
      </c>
    </row>
    <row r="12" spans="1:32" ht="15.75" x14ac:dyDescent="0.25">
      <c r="A12" s="404" t="s">
        <v>172</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6"/>
    </row>
    <row r="13" spans="1:32" x14ac:dyDescent="0.25">
      <c r="A13" s="399"/>
      <c r="B13" s="399"/>
      <c r="C13" s="399"/>
      <c r="D13" s="399"/>
      <c r="E13" s="399"/>
      <c r="F13" s="399"/>
      <c r="G13" s="399"/>
      <c r="H13" s="399"/>
      <c r="I13" s="400"/>
      <c r="J13" s="398" t="s">
        <v>168</v>
      </c>
      <c r="K13" s="399"/>
      <c r="L13" s="399"/>
      <c r="M13" s="399"/>
      <c r="N13" s="399"/>
      <c r="O13" s="399"/>
      <c r="P13" s="399"/>
      <c r="Q13" s="399"/>
      <c r="R13" s="399"/>
      <c r="S13" s="399"/>
      <c r="T13" s="399"/>
      <c r="U13" s="400"/>
      <c r="V13" s="398" t="s">
        <v>169</v>
      </c>
      <c r="W13" s="399"/>
      <c r="X13" s="399"/>
      <c r="Y13" s="399"/>
      <c r="Z13" s="400"/>
      <c r="AA13" s="100"/>
    </row>
    <row r="14" spans="1:32" ht="62.25" x14ac:dyDescent="0.25">
      <c r="A14" s="192" t="s">
        <v>157</v>
      </c>
      <c r="B14" s="194" t="s">
        <v>158</v>
      </c>
      <c r="C14" s="194" t="s">
        <v>167</v>
      </c>
      <c r="D14" s="194" t="s">
        <v>167</v>
      </c>
      <c r="E14" s="194" t="s">
        <v>302</v>
      </c>
      <c r="F14" s="194" t="s">
        <v>167</v>
      </c>
      <c r="G14" s="194" t="s">
        <v>167</v>
      </c>
      <c r="H14" s="194" t="s">
        <v>167</v>
      </c>
      <c r="I14" s="350" t="s">
        <v>303</v>
      </c>
      <c r="J14" s="229" t="s">
        <v>273</v>
      </c>
      <c r="K14" s="229" t="s">
        <v>310</v>
      </c>
      <c r="L14" s="229" t="s">
        <v>271</v>
      </c>
      <c r="M14" s="138" t="s">
        <v>56</v>
      </c>
      <c r="N14" s="229" t="s">
        <v>270</v>
      </c>
      <c r="O14" s="138" t="s">
        <v>57</v>
      </c>
      <c r="P14" s="194" t="s">
        <v>267</v>
      </c>
      <c r="Q14" s="138" t="s">
        <v>58</v>
      </c>
      <c r="R14" s="111" t="s">
        <v>244</v>
      </c>
      <c r="S14" s="111" t="s">
        <v>243</v>
      </c>
      <c r="T14" s="111" t="s">
        <v>279</v>
      </c>
      <c r="U14" s="133" t="s">
        <v>280</v>
      </c>
      <c r="V14" s="134" t="s">
        <v>281</v>
      </c>
      <c r="W14" s="111" t="s">
        <v>282</v>
      </c>
      <c r="X14" s="135" t="s">
        <v>63</v>
      </c>
      <c r="Y14" s="241" t="s">
        <v>301</v>
      </c>
      <c r="Z14" s="133" t="s">
        <v>280</v>
      </c>
      <c r="AA14" s="72"/>
    </row>
    <row r="15" spans="1:32" x14ac:dyDescent="0.25">
      <c r="A15" s="129">
        <v>11</v>
      </c>
      <c r="B15" s="129">
        <v>2.7</v>
      </c>
      <c r="C15" s="129">
        <v>5.4749999999999996</v>
      </c>
      <c r="D15" s="129">
        <v>5.625</v>
      </c>
      <c r="E15" s="20">
        <f>C15*D15</f>
        <v>30.796874999999996</v>
      </c>
      <c r="F15" s="82">
        <v>2.8250000000000002</v>
      </c>
      <c r="G15" s="82">
        <v>2.65</v>
      </c>
      <c r="H15" s="82">
        <v>2.9750000000000001</v>
      </c>
      <c r="I15" s="82">
        <v>2.65</v>
      </c>
      <c r="J15" s="20">
        <f>$D$3*B15</f>
        <v>12.15</v>
      </c>
      <c r="K15" s="20">
        <f>N3*(F15+G15+H15)+I15*X3</f>
        <v>36.295999999999999</v>
      </c>
      <c r="L15" s="20">
        <f>$I$3*E15</f>
        <v>104.70937499999999</v>
      </c>
      <c r="M15" s="129">
        <v>1.3</v>
      </c>
      <c r="N15" s="20">
        <f>U3*E15+V3*(F15+G15)</f>
        <v>63.435403125000001</v>
      </c>
      <c r="O15" s="20">
        <v>1.5</v>
      </c>
      <c r="P15" s="20">
        <f>M3*E15</f>
        <v>61.593749999999993</v>
      </c>
      <c r="Q15" s="20">
        <v>1.5</v>
      </c>
      <c r="R15" s="20">
        <f>(J15+K15+L15)*M15</f>
        <v>199.10198750000001</v>
      </c>
      <c r="S15" s="20">
        <f>(N15)*O15</f>
        <v>95.153104687500004</v>
      </c>
      <c r="T15" s="129">
        <f>P15*Q15</f>
        <v>92.390624999999986</v>
      </c>
      <c r="U15" s="20">
        <f>T15+R15+S15</f>
        <v>386.6457171875</v>
      </c>
      <c r="V15" s="20">
        <f>J15+K15+L15</f>
        <v>153.15537499999999</v>
      </c>
      <c r="W15" s="20">
        <f>N15</f>
        <v>63.435403125000001</v>
      </c>
      <c r="X15" s="20">
        <v>0.3</v>
      </c>
      <c r="Y15" s="129">
        <f>X15*P15</f>
        <v>18.478124999999999</v>
      </c>
      <c r="Z15" s="20">
        <f>V15+W15+Y15</f>
        <v>235.06890312499999</v>
      </c>
    </row>
    <row r="16" spans="1:32" x14ac:dyDescent="0.25">
      <c r="A16" s="128"/>
      <c r="B16" s="128"/>
      <c r="C16" s="128"/>
      <c r="D16" s="128"/>
      <c r="E16" s="12"/>
      <c r="F16" s="12"/>
      <c r="G16" s="12"/>
      <c r="H16" s="12"/>
      <c r="I16" s="128"/>
      <c r="J16" s="12"/>
      <c r="K16" s="128"/>
      <c r="L16" s="131"/>
      <c r="M16" s="128"/>
      <c r="N16" s="12"/>
      <c r="O16" s="128"/>
      <c r="P16" s="131"/>
      <c r="Q16" s="131"/>
      <c r="R16" s="131"/>
      <c r="S16" s="12"/>
    </row>
    <row r="17" spans="1:19" x14ac:dyDescent="0.25">
      <c r="A17" s="128"/>
      <c r="B17" s="128"/>
      <c r="C17" s="128"/>
      <c r="D17" s="128"/>
      <c r="E17" s="128"/>
      <c r="F17" s="12"/>
      <c r="G17" s="12"/>
      <c r="H17" s="12"/>
      <c r="I17" s="128"/>
      <c r="J17" s="128"/>
      <c r="K17" s="128"/>
      <c r="L17" s="128"/>
      <c r="M17" s="128"/>
      <c r="N17" s="128"/>
      <c r="O17" s="12"/>
      <c r="P17" s="12"/>
      <c r="Q17" s="128"/>
      <c r="R17" s="128"/>
      <c r="S17" s="128"/>
    </row>
    <row r="18" spans="1:19" x14ac:dyDescent="0.25">
      <c r="A18" s="128"/>
      <c r="B18" s="128"/>
      <c r="F18" s="12"/>
      <c r="G18" s="12"/>
      <c r="H18" s="12"/>
      <c r="I18" s="12"/>
      <c r="J18" s="128"/>
      <c r="K18" s="12"/>
      <c r="O18" s="12"/>
    </row>
    <row r="19" spans="1:19" x14ac:dyDescent="0.25">
      <c r="M19" s="236"/>
      <c r="N19" s="236"/>
      <c r="O19" s="236"/>
      <c r="P19" s="236"/>
      <c r="Q19" s="236"/>
      <c r="R19" s="236"/>
      <c r="S19" s="236"/>
    </row>
    <row r="20" spans="1:19" x14ac:dyDescent="0.25">
      <c r="N20" s="54"/>
      <c r="P20" s="54"/>
      <c r="Q20" s="58"/>
      <c r="R20" s="54"/>
      <c r="S20" s="56"/>
    </row>
    <row r="21" spans="1:19" x14ac:dyDescent="0.25">
      <c r="A21" s="128"/>
      <c r="N21" s="12"/>
      <c r="O21" s="128"/>
      <c r="P21" s="12"/>
      <c r="Q21" s="86"/>
      <c r="R21" s="128"/>
      <c r="S21" s="12"/>
    </row>
  </sheetData>
  <mergeCells count="16">
    <mergeCell ref="V13:Z13"/>
    <mergeCell ref="A12:Z12"/>
    <mergeCell ref="J13:U13"/>
    <mergeCell ref="A13:I13"/>
    <mergeCell ref="A1:D1"/>
    <mergeCell ref="E1:F1"/>
    <mergeCell ref="G1:H1"/>
    <mergeCell ref="Q1:R1"/>
    <mergeCell ref="Y1:AA1"/>
    <mergeCell ref="O1:P1"/>
    <mergeCell ref="S1:W1"/>
    <mergeCell ref="I1:M1"/>
    <mergeCell ref="Z6:AF6"/>
    <mergeCell ref="A5:AF5"/>
    <mergeCell ref="I6:Y6"/>
    <mergeCell ref="A6:H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90" zoomScaleNormal="90" workbookViewId="0">
      <selection activeCell="I22" sqref="I22"/>
    </sheetView>
  </sheetViews>
  <sheetFormatPr defaultRowHeight="15" x14ac:dyDescent="0.25"/>
  <cols>
    <col min="1" max="1" width="18.140625" bestFit="1" customWidth="1"/>
    <col min="9" max="9" width="14.140625" bestFit="1" customWidth="1"/>
  </cols>
  <sheetData>
    <row r="1" spans="1:9" ht="15.75" x14ac:dyDescent="0.25">
      <c r="A1" s="397"/>
      <c r="B1" s="397"/>
      <c r="C1" s="397"/>
      <c r="D1" s="397"/>
      <c r="E1" s="397"/>
      <c r="F1" s="397"/>
      <c r="G1" s="397"/>
      <c r="H1" s="234" t="s">
        <v>240</v>
      </c>
      <c r="I1" s="234" t="s">
        <v>241</v>
      </c>
    </row>
    <row r="2" spans="1:9" ht="35.25" x14ac:dyDescent="0.25">
      <c r="A2" s="84"/>
      <c r="B2" s="193" t="s">
        <v>256</v>
      </c>
      <c r="C2" s="194" t="s">
        <v>257</v>
      </c>
      <c r="D2" s="194" t="s">
        <v>258</v>
      </c>
      <c r="E2" s="194" t="s">
        <v>259</v>
      </c>
      <c r="F2" s="194" t="s">
        <v>260</v>
      </c>
      <c r="G2" s="194" t="s">
        <v>261</v>
      </c>
      <c r="H2" s="351" t="s">
        <v>236</v>
      </c>
      <c r="I2" s="351" t="s">
        <v>237</v>
      </c>
    </row>
    <row r="3" spans="1:9" x14ac:dyDescent="0.25">
      <c r="A3" s="197" t="s">
        <v>109</v>
      </c>
      <c r="B3" s="11">
        <f>'Analisi dei Carichi Solaio VI'!E12</f>
        <v>3.4000000000000004</v>
      </c>
      <c r="C3" s="11">
        <f>'Analisi dei Carichi Solaio VI'!J13</f>
        <v>0.97500000000000009</v>
      </c>
      <c r="D3" s="225">
        <f>'Analisi dei Carichi Solaio VI'!E20</f>
        <v>2</v>
      </c>
      <c r="E3" s="225">
        <f>'Analisi dei Carichi Solaio VI'!A23</f>
        <v>4.4200000000000008</v>
      </c>
      <c r="F3" s="225">
        <f>'Analisi dei Carichi Solaio VI'!B23</f>
        <v>1.4625000000000001</v>
      </c>
      <c r="G3" s="225">
        <f>'Analisi dei Carichi Solaio VI'!C23</f>
        <v>3</v>
      </c>
      <c r="H3" s="225">
        <f>'Analisi dei Carichi Solaio VI'!F23</f>
        <v>8.8825000000000003</v>
      </c>
      <c r="I3" s="225">
        <f>'Analisi dei Carichi Solaio VI'!F30</f>
        <v>4.9749999999999996</v>
      </c>
    </row>
    <row r="4" spans="1:9" x14ac:dyDescent="0.25">
      <c r="A4" s="197" t="s">
        <v>112</v>
      </c>
      <c r="B4" s="11">
        <f>'Analisi dei Carichi Solaio VI'!O12</f>
        <v>2.6</v>
      </c>
      <c r="C4" s="11">
        <f>'Analisi dei Carichi Solaio VI'!T12</f>
        <v>0.97500000000000009</v>
      </c>
      <c r="D4" s="225">
        <f>'Analisi dei Carichi Solaio VI'!P20</f>
        <v>4</v>
      </c>
      <c r="E4" s="225">
        <f>'Analisi dei Carichi Solaio VI'!L23</f>
        <v>3.3800000000000003</v>
      </c>
      <c r="F4" s="225">
        <f>'Analisi dei Carichi Solaio VI'!M23</f>
        <v>1.4625000000000001</v>
      </c>
      <c r="G4" s="225">
        <f>'Analisi dei Carichi Solaio VI'!N23</f>
        <v>6</v>
      </c>
      <c r="H4" s="225">
        <f>'Analisi dei Carichi Solaio VI'!Q23</f>
        <v>10.842500000000001</v>
      </c>
      <c r="I4" s="225">
        <f>'Analisi dei Carichi Solaio VI'!Q30</f>
        <v>4.7750000000000004</v>
      </c>
    </row>
    <row r="5" spans="1:9" ht="33" x14ac:dyDescent="0.25">
      <c r="A5" s="84"/>
      <c r="B5" s="193" t="s">
        <v>248</v>
      </c>
      <c r="C5" s="194" t="s">
        <v>254</v>
      </c>
      <c r="D5" s="194" t="s">
        <v>250</v>
      </c>
      <c r="E5" s="194" t="s">
        <v>251</v>
      </c>
      <c r="F5" s="194" t="s">
        <v>252</v>
      </c>
      <c r="G5" s="194" t="s">
        <v>255</v>
      </c>
      <c r="H5" s="351" t="s">
        <v>238</v>
      </c>
      <c r="I5" s="351" t="s">
        <v>239</v>
      </c>
    </row>
    <row r="6" spans="1:9" x14ac:dyDescent="0.25">
      <c r="A6" s="197" t="s">
        <v>430</v>
      </c>
      <c r="B6" s="225">
        <f>'Analisi dei Carichi Trave Emer'!D3</f>
        <v>4.5</v>
      </c>
      <c r="C6" s="11"/>
      <c r="D6" s="11"/>
      <c r="E6" s="225">
        <f>'Analisi dei Carichi Trave Emer'!D3*'Analisi dei Carichi Trave Emer'!C17</f>
        <v>0</v>
      </c>
      <c r="F6" s="84"/>
      <c r="G6" s="84"/>
      <c r="H6" s="225">
        <f>E6</f>
        <v>0</v>
      </c>
      <c r="I6" s="225">
        <f>B6</f>
        <v>4.5</v>
      </c>
    </row>
    <row r="7" spans="1:9" x14ac:dyDescent="0.25">
      <c r="A7" s="197" t="s">
        <v>431</v>
      </c>
      <c r="B7" s="11">
        <f>'Analisi dei Carichi Trave Spes'!D3</f>
        <v>6.0000000000000009</v>
      </c>
      <c r="C7" s="11"/>
      <c r="D7" s="11"/>
      <c r="E7" s="11">
        <f>'Analisi dei Carichi Trave Spes'!D3*'Analisi dei Carichi Trave Spes'!C14</f>
        <v>7.8000000000000016</v>
      </c>
      <c r="F7" s="84"/>
      <c r="G7" s="84"/>
      <c r="H7" s="225">
        <f>E7</f>
        <v>7.8000000000000016</v>
      </c>
      <c r="I7" s="225">
        <f>B7</f>
        <v>6.0000000000000009</v>
      </c>
    </row>
    <row r="8" spans="1:9" x14ac:dyDescent="0.25">
      <c r="A8" s="197" t="s">
        <v>157</v>
      </c>
      <c r="B8" s="225">
        <f>'Analisi dei Carichi Pilastr'!D3</f>
        <v>4.5</v>
      </c>
      <c r="C8" s="11"/>
      <c r="D8" s="11"/>
      <c r="E8" s="225">
        <f>'Analisi dei Carichi Pilastr'!D3*'Analisi dei Carichi Pilastr'!M15</f>
        <v>5.8500000000000005</v>
      </c>
      <c r="F8" s="84"/>
      <c r="G8" s="84"/>
      <c r="H8" s="225">
        <f>E8</f>
        <v>5.8500000000000005</v>
      </c>
      <c r="I8" s="225">
        <f>B8</f>
        <v>4.5</v>
      </c>
    </row>
    <row r="9" spans="1:9" x14ac:dyDescent="0.25">
      <c r="A9" s="196"/>
      <c r="B9" s="227"/>
      <c r="C9" s="217"/>
      <c r="D9" s="217"/>
      <c r="E9" s="227"/>
      <c r="H9" s="227"/>
      <c r="I9" s="227"/>
    </row>
    <row r="10" spans="1:9" ht="15.75" x14ac:dyDescent="0.25">
      <c r="A10" s="420" t="s">
        <v>48</v>
      </c>
      <c r="B10" s="421"/>
      <c r="C10" s="421"/>
      <c r="D10" s="421"/>
      <c r="E10" s="421"/>
      <c r="F10" s="421"/>
      <c r="G10" s="421"/>
      <c r="H10" s="421"/>
      <c r="I10" s="422"/>
    </row>
    <row r="11" spans="1:9" ht="15.75" x14ac:dyDescent="0.25">
      <c r="A11" s="197"/>
      <c r="B11" s="427"/>
      <c r="C11" s="428"/>
      <c r="D11" s="428"/>
      <c r="E11" s="428"/>
      <c r="F11" s="428"/>
      <c r="G11" s="428"/>
      <c r="H11" s="428"/>
      <c r="I11" s="429"/>
    </row>
    <row r="12" spans="1:9" ht="33" x14ac:dyDescent="0.25">
      <c r="A12" s="423" t="s">
        <v>242</v>
      </c>
      <c r="B12" s="228" t="s">
        <v>308</v>
      </c>
      <c r="C12" s="229" t="s">
        <v>309</v>
      </c>
      <c r="D12" s="229" t="s">
        <v>267</v>
      </c>
      <c r="E12" s="229" t="s">
        <v>244</v>
      </c>
      <c r="F12" s="229" t="s">
        <v>243</v>
      </c>
      <c r="G12" s="229" t="s">
        <v>279</v>
      </c>
      <c r="H12" s="351" t="s">
        <v>263</v>
      </c>
      <c r="I12" s="351" t="s">
        <v>264</v>
      </c>
    </row>
    <row r="13" spans="1:9" x14ac:dyDescent="0.25">
      <c r="A13" s="424"/>
      <c r="B13" s="20">
        <f>'Analisi dei Carichi Trave Emer'!B19+'Analisi dei Carichi Trave Emer'!B21+'Analisi dei Carichi Trave Emer'!B23+'Analisi dei Carichi Trave Emer'!B25</f>
        <v>22.163530789723488</v>
      </c>
      <c r="C13" s="20">
        <f>'Analisi dei Carichi Trave Emer'!D19+'Analisi dei Carichi Trave Emer'!D21+'Analisi dei Carichi Trave Emer'!D23+'Analisi dei Carichi Trave Emer'!D25</f>
        <v>12.894425208224884</v>
      </c>
      <c r="D13" s="20">
        <f>'Analisi dei Carichi Trave Emer'!F19+'Analisi dei Carichi Trave Emer'!F21+'Analisi dei Carichi Trave Emer'!H21+'Analisi dei Carichi Trave Emer'!J21+'Analisi dei Carichi Trave Emer'!F23+'Analisi dei Carichi Trave Emer'!H23+'Analisi dei Carichi Trave Emer'!J23+'Analisi dei Carichi Trave Emer'!F25+'Analisi dei Carichi Trave Emer'!H25+'Analisi dei Carichi Trave Emer'!J25</f>
        <v>12.610176991150443</v>
      </c>
      <c r="E13" s="20">
        <f>'Analisi dei Carichi Trave Emer'!L19+'Analisi dei Carichi Trave Emer'!L21+'Analisi dei Carichi Trave Emer'!L23+'Analisi dei Carichi Trave Emer'!L25</f>
        <v>28.812590026640542</v>
      </c>
      <c r="F13" s="20">
        <f>'Analisi dei Carichi Trave Emer'!M19+'Analisi dei Carichi Trave Emer'!M21+'Analisi dei Carichi Trave Emer'!M23+'Analisi dei Carichi Trave Emer'!M25</f>
        <v>19.341637812337325</v>
      </c>
      <c r="G13" s="20">
        <f>'Analisi dei Carichi Trave Emer'!N19+'Analisi dei Carichi Trave Emer'!N21+'Analisi dei Carichi Trave Emer'!N23+'Analisi dei Carichi Trave Emer'!N25</f>
        <v>18.915265486725662</v>
      </c>
      <c r="H13" s="20">
        <f>'Analisi dei Carichi Trave Emer'!O26</f>
        <v>67.069493325703533</v>
      </c>
      <c r="I13" s="20">
        <f>'Analisi dei Carichi Trave Emer'!AC26</f>
        <v>38.841009095293508</v>
      </c>
    </row>
    <row r="18" spans="1:9" ht="33" x14ac:dyDescent="0.25">
      <c r="A18" s="423" t="s">
        <v>304</v>
      </c>
      <c r="B18" s="228" t="s">
        <v>308</v>
      </c>
      <c r="C18" s="229" t="s">
        <v>309</v>
      </c>
      <c r="D18" s="229" t="s">
        <v>267</v>
      </c>
      <c r="E18" s="229" t="s">
        <v>244</v>
      </c>
      <c r="F18" s="229" t="s">
        <v>243</v>
      </c>
      <c r="G18" s="229" t="s">
        <v>279</v>
      </c>
      <c r="H18" s="351" t="s">
        <v>263</v>
      </c>
      <c r="I18" s="351" t="s">
        <v>264</v>
      </c>
    </row>
    <row r="19" spans="1:9" x14ac:dyDescent="0.25">
      <c r="A19" s="424"/>
      <c r="B19" s="20">
        <f>'Analisi dei Carichi Trave Emer'!B28</f>
        <v>16.425061728395065</v>
      </c>
      <c r="C19" s="20">
        <f>'Analisi dei Carichi Trave Emer'!D28</f>
        <v>6.169398148148149</v>
      </c>
      <c r="D19" s="20">
        <f>'Analisi dei Carichi Trave Emer'!F28+'Analisi dei Carichi Trave Emer'!H28+'Analisi dei Carichi Trave Emer'!J28</f>
        <v>11.030864197530864</v>
      </c>
      <c r="E19" s="20">
        <f>'Analisi dei Carichi Trave Emer'!L28</f>
        <v>21.352580246913586</v>
      </c>
      <c r="F19" s="20">
        <f>'Analisi dei Carichi Trave Emer'!M28</f>
        <v>9.2540972222222244</v>
      </c>
      <c r="G19" s="20">
        <f>'Analisi dei Carichi Trave Emer'!N28</f>
        <v>16.546296296296298</v>
      </c>
      <c r="H19" s="20">
        <f>'Analisi dei Carichi Trave Emer'!O28</f>
        <v>47.152973765432108</v>
      </c>
      <c r="I19" s="20">
        <f>'Analisi dei Carichi Trave Emer'!AC28</f>
        <v>25.894459876543213</v>
      </c>
    </row>
    <row r="20" spans="1:9" ht="33" x14ac:dyDescent="0.25">
      <c r="A20" s="423" t="s">
        <v>305</v>
      </c>
      <c r="B20" s="228" t="s">
        <v>308</v>
      </c>
      <c r="C20" s="229" t="s">
        <v>309</v>
      </c>
      <c r="D20" s="229" t="s">
        <v>267</v>
      </c>
      <c r="E20" s="229" t="s">
        <v>244</v>
      </c>
      <c r="F20" s="229" t="s">
        <v>243</v>
      </c>
      <c r="G20" s="229" t="s">
        <v>279</v>
      </c>
      <c r="H20" s="351" t="s">
        <v>263</v>
      </c>
      <c r="I20" s="351" t="s">
        <v>264</v>
      </c>
    </row>
    <row r="21" spans="1:9" x14ac:dyDescent="0.25">
      <c r="A21" s="424"/>
      <c r="B21" s="20">
        <f>'Analisi dei Carichi Trave Emer'!B30</f>
        <v>13.595000000000002</v>
      </c>
      <c r="C21" s="20">
        <f>'Analisi dei Carichi Trave Emer'!D30</f>
        <v>5.0406250000000004</v>
      </c>
      <c r="D21" s="20">
        <f>'Analisi dei Carichi Trave Emer'!F30+'Analisi dei Carichi Trave Emer'!H30+'Analisi dei Carichi Trave Emer'!J30</f>
        <v>5.95</v>
      </c>
      <c r="E21" s="20">
        <f>'Analisi dei Carichi Trave Emer'!L30</f>
        <v>17.673500000000004</v>
      </c>
      <c r="F21" s="20">
        <f>'Analisi dei Carichi Trave Emer'!M30</f>
        <v>7.5609375000000005</v>
      </c>
      <c r="G21" s="20">
        <f>'Analisi dei Carichi Trave Emer'!N30</f>
        <v>8.9250000000000007</v>
      </c>
      <c r="H21" s="20">
        <f>'Analisi dei Carichi Trave Emer'!O30</f>
        <v>34.15943750000001</v>
      </c>
      <c r="I21" s="20">
        <f>'Analisi dei Carichi Trave Emer'!AC30</f>
        <v>20.420625000000005</v>
      </c>
    </row>
    <row r="22" spans="1:9" x14ac:dyDescent="0.25">
      <c r="A22" s="198"/>
      <c r="B22" s="144"/>
      <c r="C22" s="144"/>
      <c r="D22" s="144"/>
      <c r="E22" s="144"/>
      <c r="F22" s="144"/>
      <c r="G22" s="144"/>
      <c r="I22" s="144"/>
    </row>
    <row r="23" spans="1:9" ht="15.75" x14ac:dyDescent="0.25">
      <c r="A23" s="404" t="s">
        <v>92</v>
      </c>
      <c r="B23" s="405"/>
      <c r="C23" s="405"/>
      <c r="D23" s="405"/>
      <c r="E23" s="405"/>
      <c r="F23" s="405"/>
      <c r="G23" s="405"/>
      <c r="H23" s="405"/>
      <c r="I23" s="406"/>
    </row>
    <row r="24" spans="1:9" ht="51" customHeight="1" x14ac:dyDescent="0.25">
      <c r="A24" s="425" t="s">
        <v>306</v>
      </c>
      <c r="B24" s="228" t="s">
        <v>308</v>
      </c>
      <c r="C24" s="229" t="s">
        <v>309</v>
      </c>
      <c r="D24" s="229" t="s">
        <v>267</v>
      </c>
      <c r="E24" s="229" t="s">
        <v>244</v>
      </c>
      <c r="F24" s="229" t="s">
        <v>243</v>
      </c>
      <c r="G24" s="229" t="s">
        <v>279</v>
      </c>
      <c r="H24" s="351" t="s">
        <v>263</v>
      </c>
      <c r="I24" s="351" t="s">
        <v>264</v>
      </c>
    </row>
    <row r="25" spans="1:9" x14ac:dyDescent="0.25">
      <c r="A25" s="426"/>
      <c r="B25" s="20">
        <f>'Analisi dei Carichi Trave Spes'!B14</f>
        <v>18.835000000000004</v>
      </c>
      <c r="C25" s="20">
        <f>'Analisi dei Carichi Trave Spes'!D14</f>
        <v>4.6556250000000006</v>
      </c>
      <c r="D25" s="20">
        <f>'Analisi dei Carichi Trave Spes'!F14</f>
        <v>9.5500000000000007</v>
      </c>
      <c r="E25" s="20">
        <f>'Analisi dei Carichi Trave Spes'!H14</f>
        <v>24.485500000000005</v>
      </c>
      <c r="F25" s="20">
        <f>'Analisi dei Carichi Trave Spes'!I14</f>
        <v>6.9834375000000009</v>
      </c>
      <c r="G25" s="20">
        <f>'Analisi dei Carichi Trave Spes'!J14</f>
        <v>14.325000000000001</v>
      </c>
      <c r="H25" s="20">
        <f>'Analisi dei Carichi Trave Spes'!K14</f>
        <v>45.793937500000006</v>
      </c>
      <c r="I25" s="20">
        <f>'Analisi dei Carichi Trave Spes'!W14</f>
        <v>26.355625000000003</v>
      </c>
    </row>
    <row r="26" spans="1:9" ht="51" customHeight="1" x14ac:dyDescent="0.25">
      <c r="A26" s="423" t="s">
        <v>307</v>
      </c>
      <c r="B26" s="228" t="s">
        <v>308</v>
      </c>
      <c r="C26" s="229" t="s">
        <v>309</v>
      </c>
      <c r="D26" s="229" t="s">
        <v>267</v>
      </c>
      <c r="E26" s="229" t="s">
        <v>244</v>
      </c>
      <c r="F26" s="229" t="s">
        <v>243</v>
      </c>
      <c r="G26" s="229" t="s">
        <v>279</v>
      </c>
      <c r="H26" s="351" t="s">
        <v>263</v>
      </c>
      <c r="I26" s="351" t="s">
        <v>264</v>
      </c>
    </row>
    <row r="27" spans="1:9" x14ac:dyDescent="0.25">
      <c r="A27" s="424"/>
      <c r="B27" s="20">
        <f>'Analisi dei Carichi Trave Spes'!B16</f>
        <v>18.580000000000002</v>
      </c>
      <c r="C27" s="20">
        <f>'Analisi dei Carichi Trave Spes'!D16</f>
        <v>4.5825000000000005</v>
      </c>
      <c r="D27" s="20">
        <f>'Analisi dei Carichi Trave Spes'!F16</f>
        <v>9.4</v>
      </c>
      <c r="E27" s="20">
        <f>'Analisi dei Carichi Trave Spes'!H16</f>
        <v>24.154000000000003</v>
      </c>
      <c r="F27" s="20">
        <f>'Analisi dei Carichi Trave Spes'!I16</f>
        <v>6.8737500000000011</v>
      </c>
      <c r="G27" s="20">
        <f>'Analisi dei Carichi Trave Spes'!J16</f>
        <v>14.100000000000001</v>
      </c>
      <c r="H27" s="20">
        <f>'Analisi dei Carichi Trave Spes'!K16</f>
        <v>45.127750000000006</v>
      </c>
      <c r="I27" s="20">
        <f>'Analisi dei Carichi Trave Spes'!W16</f>
        <v>25.982500000000002</v>
      </c>
    </row>
    <row r="29" spans="1:9" ht="15.75" x14ac:dyDescent="0.25">
      <c r="A29" s="404" t="s">
        <v>90</v>
      </c>
      <c r="B29" s="405"/>
      <c r="C29" s="405"/>
      <c r="D29" s="405"/>
      <c r="E29" s="405"/>
      <c r="F29" s="405"/>
      <c r="G29" s="405"/>
      <c r="H29" s="405"/>
      <c r="I29" s="406"/>
    </row>
    <row r="30" spans="1:9" ht="33" x14ac:dyDescent="0.25">
      <c r="A30" s="124" t="s">
        <v>157</v>
      </c>
      <c r="B30" s="228" t="s">
        <v>308</v>
      </c>
      <c r="C30" s="229" t="s">
        <v>309</v>
      </c>
      <c r="D30" s="229" t="s">
        <v>267</v>
      </c>
      <c r="E30" s="229" t="s">
        <v>244</v>
      </c>
      <c r="F30" s="229" t="s">
        <v>243</v>
      </c>
      <c r="G30" s="229" t="s">
        <v>279</v>
      </c>
      <c r="H30" s="351" t="s">
        <v>263</v>
      </c>
      <c r="I30" s="351" t="s">
        <v>264</v>
      </c>
    </row>
    <row r="31" spans="1:9" x14ac:dyDescent="0.25">
      <c r="A31" s="11">
        <v>13</v>
      </c>
      <c r="B31" s="20">
        <f>'Analisi dei Carichi Pilastr'!I8+'Analisi dei Carichi Pilastr'!J8+'Analisi dei Carichi Pilastr'!K8+'Analisi dei Carichi Pilastr'!L8</f>
        <v>40.186125000000004</v>
      </c>
      <c r="C31" s="20">
        <f>'Analisi dei Carichi Pilastr'!N8+'Analisi dei Carichi Pilastr'!O8</f>
        <v>12.665109375</v>
      </c>
      <c r="D31" s="20">
        <f>'Analisi dei Carichi Pilastr'!Q8+'Analisi dei Carichi Pilastr'!S8</f>
        <v>8.2012499999999999</v>
      </c>
      <c r="E31" s="20">
        <f>'Analisi dei Carichi Pilastr'!V8</f>
        <v>52.241962500000007</v>
      </c>
      <c r="F31" s="20">
        <f>'Analisi dei Carichi Pilastr'!W8</f>
        <v>18.9976640625</v>
      </c>
      <c r="G31" s="20">
        <f>'Analisi dei Carichi Pilastr'!X8</f>
        <v>12.301874999999999</v>
      </c>
      <c r="H31" s="20">
        <f>'Analisi dei Carichi Pilastr'!Y8</f>
        <v>83.541501562500002</v>
      </c>
      <c r="I31" s="20">
        <f>'Analisi dei Carichi Pilastr'!AF8</f>
        <v>55.311609375000003</v>
      </c>
    </row>
    <row r="32" spans="1:9" x14ac:dyDescent="0.25">
      <c r="A32" s="11">
        <v>26</v>
      </c>
      <c r="B32" s="20">
        <f>'Analisi dei Carichi Pilastr'!I9+'Analisi dei Carichi Pilastr'!J9+'Analisi dei Carichi Pilastr'!K9+'Analisi dei Carichi Pilastr'!L9</f>
        <v>41.528652500000007</v>
      </c>
      <c r="C32" s="20">
        <f>'Analisi dei Carichi Pilastr'!N9+'Analisi dei Carichi Pilastr'!O9</f>
        <v>13.883398437500002</v>
      </c>
      <c r="D32" s="20">
        <f>'Analisi dei Carichi Pilastr'!Q9+'Analisi dei Carichi Pilastr'!S9</f>
        <v>9.4931250000000009</v>
      </c>
      <c r="E32" s="20">
        <f>'Analisi dei Carichi Pilastr'!V9</f>
        <v>53.987248250000007</v>
      </c>
      <c r="F32" s="20">
        <f>'Analisi dei Carichi Pilastr'!W9</f>
        <v>20.825097656250001</v>
      </c>
      <c r="G32" s="20">
        <f>'Analisi dei Carichi Pilastr'!X9</f>
        <v>14.239687500000002</v>
      </c>
      <c r="H32" s="20">
        <f>'Analisi dei Carichi Pilastr'!Y9</f>
        <v>89.052033406250018</v>
      </c>
      <c r="I32" s="20">
        <f>'Analisi dei Carichi Pilastr'!AF9</f>
        <v>58.259988437500013</v>
      </c>
    </row>
    <row r="33" spans="1:9" x14ac:dyDescent="0.25">
      <c r="A33" s="260">
        <v>1</v>
      </c>
      <c r="B33" s="20">
        <f>'Analisi dei Carichi Pilastr'!I10+'Analisi dei Carichi Pilastr'!J10+'Analisi dei Carichi Pilastr'!K10+'Analisi dei Carichi Pilastr'!L10</f>
        <v>53.836750000000002</v>
      </c>
      <c r="C33" s="20">
        <f>'Analisi dei Carichi Pilastr'!N10+'Analisi dei Carichi Pilastr'!O10</f>
        <v>17.949031250000001</v>
      </c>
      <c r="D33" s="20">
        <f>'Analisi dei Carichi Pilastr'!Q10+'Analisi dei Carichi Pilastr'!S10</f>
        <v>20.577500000000001</v>
      </c>
      <c r="E33" s="20">
        <f>'Analisi dei Carichi Pilastr'!V10</f>
        <v>69.987774999999999</v>
      </c>
      <c r="F33" s="20">
        <f>'Analisi dei Carichi Pilastr'!W10</f>
        <v>26.923546875</v>
      </c>
      <c r="G33" s="20">
        <f>'Analisi dei Carichi Pilastr'!X10</f>
        <v>30.866250000000001</v>
      </c>
      <c r="H33" s="20">
        <f>'Analisi dei Carichi Pilastr'!Y10</f>
        <v>127.77757187500001</v>
      </c>
      <c r="I33" s="20">
        <f>'Analisi dei Carichi Pilastr'!AF10</f>
        <v>77.959031249999995</v>
      </c>
    </row>
    <row r="34" spans="1:9" x14ac:dyDescent="0.25">
      <c r="A34" s="248"/>
      <c r="B34" s="115"/>
      <c r="C34" s="116"/>
      <c r="D34" s="116"/>
      <c r="E34" s="116"/>
      <c r="F34" s="116"/>
      <c r="G34" s="116"/>
      <c r="H34" s="116"/>
      <c r="I34" s="116"/>
    </row>
    <row r="35" spans="1:9" ht="15.75" x14ac:dyDescent="0.25">
      <c r="A35" s="420" t="s">
        <v>170</v>
      </c>
      <c r="B35" s="421"/>
      <c r="C35" s="421"/>
      <c r="D35" s="421"/>
      <c r="E35" s="421"/>
      <c r="F35" s="421"/>
      <c r="G35" s="421"/>
      <c r="H35" s="421"/>
      <c r="I35" s="422"/>
    </row>
    <row r="36" spans="1:9" ht="33" x14ac:dyDescent="0.25">
      <c r="A36" s="124" t="s">
        <v>157</v>
      </c>
      <c r="B36" s="228" t="s">
        <v>308</v>
      </c>
      <c r="C36" s="229" t="s">
        <v>309</v>
      </c>
      <c r="D36" s="229" t="s">
        <v>267</v>
      </c>
      <c r="E36" s="229" t="s">
        <v>244</v>
      </c>
      <c r="F36" s="229" t="s">
        <v>243</v>
      </c>
      <c r="G36" s="229" t="s">
        <v>279</v>
      </c>
      <c r="H36" s="351" t="s">
        <v>263</v>
      </c>
      <c r="I36" s="351" t="s">
        <v>264</v>
      </c>
    </row>
    <row r="37" spans="1:9" x14ac:dyDescent="0.25">
      <c r="A37" s="129">
        <v>11</v>
      </c>
      <c r="B37" s="20">
        <f>'Analisi dei Carichi Pilastr'!J15+'Analisi dei Carichi Pilastr'!K15+'Analisi dei Carichi Pilastr'!L15</f>
        <v>153.15537499999999</v>
      </c>
      <c r="C37" s="20">
        <f>'Analisi dei Carichi Pilastr'!N15</f>
        <v>63.435403125000001</v>
      </c>
      <c r="D37" s="20">
        <f>'Analisi dei Carichi Pilastr'!P15</f>
        <v>61.593749999999993</v>
      </c>
      <c r="E37" s="20">
        <f>'Analisi dei Carichi Pilastr'!R15</f>
        <v>199.10198750000001</v>
      </c>
      <c r="F37" s="20">
        <f>'Analisi dei Carichi Pilastr'!S15</f>
        <v>95.153104687500004</v>
      </c>
      <c r="G37" s="20">
        <f>'Analisi dei Carichi Pilastr'!T15</f>
        <v>92.390624999999986</v>
      </c>
      <c r="H37" s="20">
        <f>'Analisi dei Carichi Pilastr'!U15</f>
        <v>386.6457171875</v>
      </c>
      <c r="I37" s="20">
        <f>'Analisi dei Carichi Pilastr'!Z15</f>
        <v>235.06890312499999</v>
      </c>
    </row>
  </sheetData>
  <mergeCells count="11">
    <mergeCell ref="A1:G1"/>
    <mergeCell ref="A10:I10"/>
    <mergeCell ref="A23:I23"/>
    <mergeCell ref="A29:I29"/>
    <mergeCell ref="A35:I35"/>
    <mergeCell ref="A18:A19"/>
    <mergeCell ref="A20:A21"/>
    <mergeCell ref="A12:A13"/>
    <mergeCell ref="A24:A25"/>
    <mergeCell ref="A26:A27"/>
    <mergeCell ref="B11:I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8</vt:i4>
      </vt:variant>
    </vt:vector>
  </HeadingPairs>
  <TitlesOfParts>
    <vt:vector size="35" baseType="lpstr">
      <vt:lpstr>Analisi dei Carichi Torrino</vt:lpstr>
      <vt:lpstr>Analisi dei Carichi Trave Eme</vt:lpstr>
      <vt:lpstr>Analisi dei Carichi Pilast</vt:lpstr>
      <vt:lpstr>Analisi dei Carichi Vert</vt:lpstr>
      <vt:lpstr>Analisi dei Carichi Solaio VI</vt:lpstr>
      <vt:lpstr>Analisi dei Carichi Trave Emer</vt:lpstr>
      <vt:lpstr>Analisi dei Carichi Trave Spes</vt:lpstr>
      <vt:lpstr>Analisi dei Carichi Pilastr</vt:lpstr>
      <vt:lpstr>Analisi Carichi Verti</vt:lpstr>
      <vt:lpstr>Analisi dei Carichi Solaio Tipo</vt:lpstr>
      <vt:lpstr>Analisi dei Carichi Scala</vt:lpstr>
      <vt:lpstr>Analisi dei Carichi Trave Emerg</vt:lpstr>
      <vt:lpstr>Analisi dei Carichi Trave Spess</vt:lpstr>
      <vt:lpstr>Analisi dei Carichi Pilastro</vt:lpstr>
      <vt:lpstr>Analisi Carichi Vertic.</vt:lpstr>
      <vt:lpstr>Dimens. Verifica</vt:lpstr>
      <vt:lpstr>Caratt. Sollec.</vt:lpstr>
      <vt:lpstr>Dimens. Travi Emergen.</vt:lpstr>
      <vt:lpstr>Dimens. Trave Spessore</vt:lpstr>
      <vt:lpstr>Dimens. Pilastro</vt:lpstr>
      <vt:lpstr>Stima delle rigidezze 1</vt:lpstr>
      <vt:lpstr>Stima delle rigidezze 2 x</vt:lpstr>
      <vt:lpstr>Stima delle rigidezze 2 y </vt:lpstr>
      <vt:lpstr>Controllo Periodo</vt:lpstr>
      <vt:lpstr>Centro di rigidezza</vt:lpstr>
      <vt:lpstr>Verifica SLD</vt:lpstr>
      <vt:lpstr>Dati</vt:lpstr>
      <vt:lpstr>Balcone</vt:lpstr>
      <vt:lpstr>Classe</vt:lpstr>
      <vt:lpstr>cls</vt:lpstr>
      <vt:lpstr>Diametro</vt:lpstr>
      <vt:lpstr>kR</vt:lpstr>
      <vt:lpstr>Numero</vt:lpstr>
      <vt:lpstr>q</vt:lpstr>
      <vt:lpstr>Solaio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2017-03-03T15:26:53Z</dcterms:modified>
</cp:coreProperties>
</file>